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3256" windowHeight="13176"/>
  </bookViews>
  <sheets>
    <sheet name="PERSONALE NON PO" sheetId="1" r:id="rId1"/>
    <sheet name="PO E SEGRETARIO COMUNALE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J10" i="2"/>
  <c r="J45" i="1"/>
  <c r="J18"/>
  <c r="J53" l="1"/>
  <c r="J51"/>
  <c r="D58"/>
  <c r="D59"/>
  <c r="D57"/>
  <c r="D60" s="1"/>
  <c r="J12" i="2"/>
  <c r="D16"/>
  <c r="C16"/>
  <c r="J9"/>
  <c r="J8"/>
  <c r="J7"/>
  <c r="J6"/>
  <c r="I9"/>
  <c r="I8"/>
  <c r="I7"/>
  <c r="I6"/>
  <c r="I5"/>
  <c r="J5" s="1"/>
  <c r="E12"/>
  <c r="H62" i="1" l="1"/>
  <c r="I17" l="1"/>
  <c r="I37"/>
  <c r="I21"/>
  <c r="I13"/>
  <c r="C62"/>
  <c r="H42" l="1"/>
  <c r="J42" s="1"/>
  <c r="H21"/>
  <c r="J21" s="1"/>
  <c r="H13"/>
  <c r="J13" s="1"/>
  <c r="H41"/>
  <c r="J41" s="1"/>
  <c r="H44"/>
  <c r="J44" s="1"/>
  <c r="H14"/>
  <c r="H17"/>
  <c r="J17" s="1"/>
  <c r="H16"/>
  <c r="J16" s="1"/>
  <c r="H28"/>
  <c r="H37"/>
  <c r="J37" s="1"/>
  <c r="I11"/>
  <c r="I12"/>
  <c r="I22"/>
  <c r="I32"/>
  <c r="I40"/>
  <c r="I49"/>
  <c r="J14"/>
  <c r="I27"/>
  <c r="I38"/>
  <c r="I48"/>
  <c r="I50"/>
  <c r="I33"/>
  <c r="I23"/>
  <c r="I39"/>
  <c r="I28"/>
  <c r="J28" s="1"/>
  <c r="H11"/>
  <c r="H27"/>
  <c r="H40"/>
  <c r="H32"/>
  <c r="H43"/>
  <c r="J43" s="1"/>
  <c r="H49"/>
  <c r="H38"/>
  <c r="H22"/>
  <c r="H12"/>
  <c r="H33"/>
  <c r="H48"/>
  <c r="H15"/>
  <c r="J15" s="1"/>
  <c r="H23"/>
  <c r="H39"/>
  <c r="H50"/>
  <c r="J48" l="1"/>
  <c r="J12"/>
  <c r="J50"/>
  <c r="J27"/>
  <c r="J29" s="1"/>
  <c r="J33"/>
  <c r="J32"/>
  <c r="J34" s="1"/>
  <c r="J22"/>
  <c r="J24" s="1"/>
  <c r="J23"/>
  <c r="J49"/>
  <c r="J40"/>
  <c r="J38"/>
  <c r="J39"/>
  <c r="I53"/>
  <c r="I58" s="1"/>
  <c r="J11"/>
  <c r="H53"/>
  <c r="H58" l="1"/>
  <c r="J58" s="1"/>
</calcChain>
</file>

<file path=xl/sharedStrings.xml><?xml version="1.0" encoding="utf-8"?>
<sst xmlns="http://schemas.openxmlformats.org/spreadsheetml/2006/main" count="142" uniqueCount="64">
  <si>
    <t>PRODUTTIVITA' 2020</t>
  </si>
  <si>
    <t>FONDO TOTALE</t>
  </si>
  <si>
    <t>DI CUI</t>
  </si>
  <si>
    <t>COMPENSO PERFORMANCE INDIVIDUALE</t>
  </si>
  <si>
    <t>COMPENSO PERFORMANCE ORGANIZZATIVA</t>
  </si>
  <si>
    <t>COMPENSO PER MAGGIORAZIONE PERFORMANCE INDIVIDUALE</t>
  </si>
  <si>
    <t>AREA LL.PP.</t>
  </si>
  <si>
    <t>CATEGORIA</t>
  </si>
  <si>
    <t>%ORARIO</t>
  </si>
  <si>
    <t>D</t>
  </si>
  <si>
    <t xml:space="preserve">C </t>
  </si>
  <si>
    <t>C</t>
  </si>
  <si>
    <t>B</t>
  </si>
  <si>
    <t>MESI LAVORATI</t>
  </si>
  <si>
    <t>AREA FINANZIARIA</t>
  </si>
  <si>
    <t>AREA ANAGRAFE E STATO CIVILE</t>
  </si>
  <si>
    <t>AREA AFFARI GENERALI E SERVIZI ALLA PERSONA</t>
  </si>
  <si>
    <t>AREA URBANISTICA</t>
  </si>
  <si>
    <t>DA UTILIZZARE PER PAGARE I MIGLIORI 3</t>
  </si>
  <si>
    <t>VALUTAZIONE PERFORMANCE INDIVIDUALE</t>
  </si>
  <si>
    <t>VALUTAZIONE PERFORMANCE ORGANIZZATIVA</t>
  </si>
  <si>
    <t>interim 12</t>
  </si>
  <si>
    <t>CATEGORIE B</t>
  </si>
  <si>
    <t>CATEGORIE C</t>
  </si>
  <si>
    <t>CATEGORIE D</t>
  </si>
  <si>
    <t>N.</t>
  </si>
  <si>
    <t>PARAMETRO</t>
  </si>
  <si>
    <t>TOT</t>
  </si>
  <si>
    <t>VALORE PUNTO INDIVIDUALE</t>
  </si>
  <si>
    <t>VALORE PUNTO ORGANIZZATIVA DELL'ENTE</t>
  </si>
  <si>
    <t>RISPARMIO ORGANIZZATIVA</t>
  </si>
  <si>
    <t>TOTALE PREMIO INDIVIDUALE</t>
  </si>
  <si>
    <t>TOTALE PREMIO ORGANIZZATIVA</t>
  </si>
  <si>
    <t>RIDUZIONE PART-TIME 83,33%</t>
  </si>
  <si>
    <t>CORRISPOSTO IL 90% DEL PREMIO INDIVIDUALE DI CATEGORIA</t>
  </si>
  <si>
    <t>CORRISPOSTO L'80% DEL PREMIO INDIVIDUALE DI CATEGORIA</t>
  </si>
  <si>
    <t>CORRISPOSTO IL 65% DEL PREMIO INDIVIDUALE DI CATEGORIA</t>
  </si>
  <si>
    <t>INDENNITA' DI RISULTATO (155)</t>
  </si>
  <si>
    <t>12911,63/38863,59*100</t>
  </si>
  <si>
    <t>i 7500 devono essere riproporzionati sulla base dell'indennità erogata vedi esempio sotto</t>
  </si>
  <si>
    <t>7500*33,22/100</t>
  </si>
  <si>
    <t>rimodulato per i mesi di appartenenza, al 100%</t>
  </si>
  <si>
    <t>90% del massimo</t>
  </si>
  <si>
    <t>90% del massimo calcolato sulla proporzione del 20% dell'interim</t>
  </si>
  <si>
    <t>TOTALE</t>
  </si>
  <si>
    <t>AVNZO DA DESTINARE ALL'ANNO 2021</t>
  </si>
  <si>
    <t>FONDO</t>
  </si>
  <si>
    <t>AVANZO</t>
  </si>
  <si>
    <t>INDENNITA' RISULTATO ANNO 2020 P.O.</t>
  </si>
  <si>
    <t>INDENNITA' POSIZIONE ANNO 2020</t>
  </si>
  <si>
    <t>INDENNITA' RISULTATO 15% DI €. 50.000,00</t>
  </si>
  <si>
    <t>una volta riproporzionate le posizioni si dividono i 7500 per le quote e viene quello che spetterebbe se valutazione fosse più del 90,1</t>
  </si>
  <si>
    <t>RISPARMIO INDIVIDUALE</t>
  </si>
  <si>
    <t>MATRICOLA</t>
  </si>
  <si>
    <t>INDENNITA' POSIZIONE</t>
  </si>
  <si>
    <t>INDENNITA' DI RISULTATO</t>
  </si>
  <si>
    <t>DIPENDENTI</t>
  </si>
  <si>
    <t>AREA POLIZIA LOCALE</t>
  </si>
  <si>
    <t xml:space="preserve">TOTALE RISPARMIO </t>
  </si>
  <si>
    <t xml:space="preserve">RIDUZIONE MESI </t>
  </si>
  <si>
    <t>COEFF</t>
  </si>
  <si>
    <t xml:space="preserve">PREMIO 2020 TOTALE DA LIQUIDARE </t>
  </si>
  <si>
    <t xml:space="preserve"> DA LIQUIDARE </t>
  </si>
  <si>
    <t>TOTALE DA LIQUIDARE  ANNO 2020 RISULTATO + PO FABBRETTI ARRETRATO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</si>
</sst>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0" fontId="1" fillId="0" borderId="0" xfId="0" applyFont="1"/>
    <xf numFmtId="9" fontId="0" fillId="0" borderId="0" xfId="0" applyNumberFormat="1"/>
    <xf numFmtId="0" fontId="1" fillId="0" borderId="0" xfId="0" applyFont="1" applyAlignment="1">
      <alignment wrapText="1"/>
    </xf>
    <xf numFmtId="0" fontId="0" fillId="0" borderId="0" xfId="0" applyAlignment="1">
      <alignment horizontal="right"/>
    </xf>
    <xf numFmtId="2" fontId="0" fillId="0" borderId="0" xfId="0" applyNumberFormat="1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0" xfId="0" applyAlignment="1">
      <alignment wrapText="1"/>
    </xf>
    <xf numFmtId="4" fontId="2" fillId="0" borderId="0" xfId="0" applyNumberFormat="1" applyFont="1" applyAlignment="1">
      <alignment wrapText="1"/>
    </xf>
    <xf numFmtId="4" fontId="1" fillId="0" borderId="0" xfId="0" applyNumberFormat="1" applyFont="1" applyAlignment="1">
      <alignment wrapText="1"/>
    </xf>
    <xf numFmtId="0" fontId="0" fillId="7" borderId="0" xfId="0" applyFill="1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9" fontId="0" fillId="0" borderId="1" xfId="0" applyNumberFormat="1" applyBorder="1"/>
    <xf numFmtId="2" fontId="0" fillId="0" borderId="1" xfId="0" applyNumberFormat="1" applyBorder="1"/>
    <xf numFmtId="0" fontId="0" fillId="7" borderId="1" xfId="0" applyFill="1" applyBorder="1" applyAlignment="1">
      <alignment wrapText="1"/>
    </xf>
    <xf numFmtId="0" fontId="0" fillId="7" borderId="1" xfId="0" applyFill="1" applyBorder="1"/>
    <xf numFmtId="0" fontId="0" fillId="5" borderId="1" xfId="0" applyFill="1" applyBorder="1" applyAlignment="1">
      <alignment wrapText="1"/>
    </xf>
    <xf numFmtId="2" fontId="0" fillId="0" borderId="1" xfId="0" applyNumberFormat="1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1" fillId="0" borderId="1" xfId="0" applyFont="1" applyBorder="1"/>
    <xf numFmtId="2" fontId="0" fillId="6" borderId="1" xfId="0" applyNumberFormat="1" applyFill="1" applyBorder="1" applyAlignment="1">
      <alignment wrapText="1"/>
    </xf>
    <xf numFmtId="4" fontId="0" fillId="0" borderId="0" xfId="0" applyNumberFormat="1" applyFont="1"/>
    <xf numFmtId="4" fontId="0" fillId="3" borderId="0" xfId="0" applyNumberFormat="1" applyFont="1" applyFill="1"/>
    <xf numFmtId="4" fontId="0" fillId="4" borderId="0" xfId="0" applyNumberFormat="1" applyFont="1" applyFill="1"/>
    <xf numFmtId="4" fontId="0" fillId="2" borderId="0" xfId="0" applyNumberFormat="1" applyFont="1" applyFill="1"/>
    <xf numFmtId="0" fontId="0" fillId="0" borderId="0" xfId="0" applyAlignment="1">
      <alignment horizontal="center" vertical="center"/>
    </xf>
    <xf numFmtId="2" fontId="0" fillId="5" borderId="1" xfId="0" applyNumberFormat="1" applyFill="1" applyBorder="1" applyAlignment="1">
      <alignment wrapText="1"/>
    </xf>
    <xf numFmtId="4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wrapText="1"/>
    </xf>
    <xf numFmtId="2" fontId="0" fillId="0" borderId="0" xfId="0" applyNumberFormat="1" applyBorder="1"/>
    <xf numFmtId="2" fontId="0" fillId="3" borderId="1" xfId="0" applyNumberFormat="1" applyFill="1" applyBorder="1"/>
    <xf numFmtId="2" fontId="0" fillId="3" borderId="1" xfId="0" applyNumberFormat="1" applyFill="1" applyBorder="1" applyAlignment="1">
      <alignment wrapText="1"/>
    </xf>
    <xf numFmtId="0" fontId="1" fillId="0" borderId="0" xfId="0" applyFont="1" applyAlignment="1">
      <alignment horizontal="center" wrapText="1"/>
    </xf>
    <xf numFmtId="4" fontId="1" fillId="0" borderId="0" xfId="0" applyNumberFormat="1" applyFont="1"/>
    <xf numFmtId="4" fontId="0" fillId="0" borderId="4" xfId="0" applyNumberFormat="1" applyBorder="1"/>
    <xf numFmtId="4" fontId="0" fillId="0" borderId="1" xfId="0" applyNumberFormat="1" applyBorder="1"/>
    <xf numFmtId="0" fontId="1" fillId="8" borderId="1" xfId="0" applyFont="1" applyFill="1" applyBorder="1" applyAlignment="1">
      <alignment horizontal="center" vertical="center" wrapText="1"/>
    </xf>
    <xf numFmtId="4" fontId="0" fillId="7" borderId="1" xfId="0" applyNumberFormat="1" applyFill="1" applyBorder="1"/>
    <xf numFmtId="4" fontId="0" fillId="5" borderId="1" xfId="0" applyNumberFormat="1" applyFill="1" applyBorder="1" applyAlignment="1">
      <alignment wrapText="1"/>
    </xf>
    <xf numFmtId="0" fontId="0" fillId="0" borderId="0" xfId="0" applyBorder="1" applyAlignment="1">
      <alignment horizontal="center" vertical="center"/>
    </xf>
    <xf numFmtId="9" fontId="0" fillId="0" borderId="0" xfId="0" applyNumberFormat="1" applyBorder="1"/>
    <xf numFmtId="2" fontId="0" fillId="0" borderId="0" xfId="0" applyNumberFormat="1" applyFill="1" applyBorder="1" applyAlignment="1">
      <alignment wrapText="1"/>
    </xf>
    <xf numFmtId="2" fontId="1" fillId="0" borderId="0" xfId="0" applyNumberFormat="1" applyFont="1" applyBorder="1"/>
    <xf numFmtId="2" fontId="1" fillId="0" borderId="0" xfId="0" applyNumberFormat="1" applyFont="1"/>
    <xf numFmtId="164" fontId="3" fillId="0" borderId="1" xfId="0" applyNumberFormat="1" applyFont="1" applyBorder="1"/>
    <xf numFmtId="0" fontId="1" fillId="0" borderId="0" xfId="0" applyFont="1" applyBorder="1" applyAlignment="1">
      <alignment horizontal="center"/>
    </xf>
    <xf numFmtId="164" fontId="0" fillId="0" borderId="0" xfId="0" applyNumberFormat="1" applyBorder="1"/>
    <xf numFmtId="0" fontId="1" fillId="0" borderId="0" xfId="0" applyFont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1"/>
  <sheetViews>
    <sheetView tabSelected="1" zoomScale="110" zoomScaleNormal="110" workbookViewId="0">
      <selection activeCell="K39" sqref="K39"/>
    </sheetView>
  </sheetViews>
  <sheetFormatPr defaultRowHeight="14.4"/>
  <cols>
    <col min="1" max="1" width="12" customWidth="1"/>
    <col min="2" max="2" width="13" style="38" customWidth="1"/>
    <col min="3" max="3" width="12.44140625" customWidth="1"/>
    <col min="5" max="5" width="14.5546875" customWidth="1"/>
    <col min="6" max="6" width="17.109375" customWidth="1"/>
    <col min="7" max="7" width="18.88671875" customWidth="1"/>
    <col min="8" max="8" width="19" style="15" customWidth="1"/>
    <col min="9" max="9" width="15.6640625" customWidth="1"/>
    <col min="10" max="10" width="24" customWidth="1"/>
    <col min="11" max="11" width="14.6640625" bestFit="1" customWidth="1"/>
  </cols>
  <sheetData>
    <row r="1" spans="1:11">
      <c r="A1" s="2" t="s">
        <v>0</v>
      </c>
    </row>
    <row r="3" spans="1:11">
      <c r="A3" s="2" t="s">
        <v>1</v>
      </c>
      <c r="D3" s="1"/>
      <c r="E3" s="1"/>
      <c r="F3" s="1"/>
      <c r="G3" s="1"/>
      <c r="H3" s="16">
        <v>29104</v>
      </c>
    </row>
    <row r="4" spans="1:11">
      <c r="A4" s="4" t="s">
        <v>2</v>
      </c>
    </row>
    <row r="5" spans="1:11">
      <c r="A5" s="4" t="s">
        <v>3</v>
      </c>
      <c r="F5" s="1"/>
      <c r="G5" s="1"/>
      <c r="H5" s="17">
        <v>25287</v>
      </c>
    </row>
    <row r="6" spans="1:11">
      <c r="A6" s="4" t="s">
        <v>4</v>
      </c>
      <c r="F6" s="1"/>
      <c r="G6" s="1"/>
      <c r="H6" s="17">
        <v>2910</v>
      </c>
    </row>
    <row r="7" spans="1:11">
      <c r="A7" s="4" t="s">
        <v>5</v>
      </c>
      <c r="H7" s="17">
        <v>907</v>
      </c>
      <c r="I7" t="s">
        <v>18</v>
      </c>
    </row>
    <row r="9" spans="1:11">
      <c r="A9" s="4" t="s">
        <v>6</v>
      </c>
    </row>
    <row r="10" spans="1:11" ht="43.2">
      <c r="A10" s="67" t="s">
        <v>53</v>
      </c>
      <c r="B10" s="68"/>
      <c r="C10" s="20" t="s">
        <v>7</v>
      </c>
      <c r="D10" s="20" t="s">
        <v>8</v>
      </c>
      <c r="E10" s="20" t="s">
        <v>13</v>
      </c>
      <c r="F10" s="21" t="s">
        <v>19</v>
      </c>
      <c r="G10" s="21" t="s">
        <v>20</v>
      </c>
      <c r="H10" s="22" t="s">
        <v>31</v>
      </c>
      <c r="I10" s="22" t="s">
        <v>32</v>
      </c>
      <c r="J10" s="52" t="s">
        <v>61</v>
      </c>
      <c r="K10" s="6"/>
    </row>
    <row r="11" spans="1:11">
      <c r="A11" s="69">
        <v>82</v>
      </c>
      <c r="B11" s="70"/>
      <c r="C11" s="23" t="s">
        <v>9</v>
      </c>
      <c r="D11" s="24">
        <v>1</v>
      </c>
      <c r="E11" s="23">
        <v>12</v>
      </c>
      <c r="F11" s="23">
        <v>93.9</v>
      </c>
      <c r="G11" s="23">
        <v>93</v>
      </c>
      <c r="H11" s="29">
        <f>C62*C59</f>
        <v>1167.7833037300179</v>
      </c>
      <c r="I11" s="25">
        <f>H62*C59</f>
        <v>134.38721136767319</v>
      </c>
      <c r="J11" s="51">
        <f>SUM(H11:I11)</f>
        <v>1302.1705150976911</v>
      </c>
    </row>
    <row r="12" spans="1:11">
      <c r="A12" s="64">
        <v>183</v>
      </c>
      <c r="B12" s="65"/>
      <c r="C12" s="23" t="s">
        <v>10</v>
      </c>
      <c r="D12" s="24">
        <v>1</v>
      </c>
      <c r="E12" s="23">
        <v>12</v>
      </c>
      <c r="F12" s="23">
        <v>95.3</v>
      </c>
      <c r="G12" s="23">
        <v>93</v>
      </c>
      <c r="H12" s="29">
        <f>C62*C58</f>
        <v>1033.039076376554</v>
      </c>
      <c r="I12" s="25">
        <f>H62*C58</f>
        <v>118.88099467140319</v>
      </c>
      <c r="J12" s="51">
        <f t="shared" ref="J12:J50" si="0">SUM(H12:I12)</f>
        <v>1151.9200710479572</v>
      </c>
    </row>
    <row r="13" spans="1:11">
      <c r="A13" s="64">
        <v>457</v>
      </c>
      <c r="B13" s="65"/>
      <c r="C13" s="23" t="s">
        <v>11</v>
      </c>
      <c r="D13" s="25">
        <v>83.33</v>
      </c>
      <c r="E13" s="23">
        <v>12</v>
      </c>
      <c r="F13" s="23">
        <v>100</v>
      </c>
      <c r="G13" s="23">
        <v>93</v>
      </c>
      <c r="H13" s="26">
        <f>ROUND(((C62*C58)*83.33/100),2)</f>
        <v>860.83</v>
      </c>
      <c r="I13" s="27">
        <f>ROUND(((H62*C58)*83.33/100),2)</f>
        <v>99.06</v>
      </c>
      <c r="J13" s="51">
        <f t="shared" si="0"/>
        <v>959.8900000000001</v>
      </c>
    </row>
    <row r="14" spans="1:11">
      <c r="A14" s="64">
        <v>361</v>
      </c>
      <c r="B14" s="65"/>
      <c r="C14" s="23" t="s">
        <v>12</v>
      </c>
      <c r="D14" s="24">
        <v>1</v>
      </c>
      <c r="E14" s="23">
        <v>12</v>
      </c>
      <c r="F14" s="23">
        <v>80.2</v>
      </c>
      <c r="G14" s="23">
        <v>93</v>
      </c>
      <c r="H14" s="39">
        <f>ROUND(((C62*C57)*80/100),2)</f>
        <v>718.64</v>
      </c>
      <c r="I14" s="25">
        <v>103.38</v>
      </c>
      <c r="J14" s="51">
        <f t="shared" si="0"/>
        <v>822.02</v>
      </c>
    </row>
    <row r="15" spans="1:11">
      <c r="A15" s="64">
        <v>58</v>
      </c>
      <c r="B15" s="65"/>
      <c r="C15" s="23" t="s">
        <v>12</v>
      </c>
      <c r="D15" s="24">
        <v>1</v>
      </c>
      <c r="E15" s="23">
        <v>12</v>
      </c>
      <c r="F15" s="23">
        <v>91</v>
      </c>
      <c r="G15" s="23">
        <v>93</v>
      </c>
      <c r="H15" s="29">
        <f>C62*C57</f>
        <v>898.29484902309059</v>
      </c>
      <c r="I15" s="23">
        <v>103.38</v>
      </c>
      <c r="J15" s="51">
        <f t="shared" si="0"/>
        <v>1001.6748490230906</v>
      </c>
    </row>
    <row r="16" spans="1:11">
      <c r="A16" s="64">
        <v>47</v>
      </c>
      <c r="B16" s="65"/>
      <c r="C16" s="23" t="s">
        <v>12</v>
      </c>
      <c r="D16" s="24">
        <v>1</v>
      </c>
      <c r="E16" s="23">
        <v>12</v>
      </c>
      <c r="F16" s="23">
        <v>88.3</v>
      </c>
      <c r="G16" s="23">
        <v>93</v>
      </c>
      <c r="H16" s="30">
        <f>ROUND(((C62*C57)*90/100),2)</f>
        <v>808.47</v>
      </c>
      <c r="I16" s="23">
        <v>103.38</v>
      </c>
      <c r="J16" s="51">
        <f t="shared" si="0"/>
        <v>911.85</v>
      </c>
    </row>
    <row r="17" spans="1:10">
      <c r="A17" s="64">
        <v>59</v>
      </c>
      <c r="B17" s="65"/>
      <c r="C17" s="23" t="s">
        <v>12</v>
      </c>
      <c r="D17" s="24">
        <v>1</v>
      </c>
      <c r="E17" s="23">
        <v>5</v>
      </c>
      <c r="F17" s="23">
        <v>91</v>
      </c>
      <c r="G17" s="23">
        <v>93</v>
      </c>
      <c r="H17" s="31">
        <f>ROUND(((C62*C57)/12*5),2)</f>
        <v>374.29</v>
      </c>
      <c r="I17" s="46">
        <f>((H62*C57)/12*5)</f>
        <v>43.072824156305501</v>
      </c>
      <c r="J17" s="51">
        <f t="shared" si="0"/>
        <v>417.36282415630552</v>
      </c>
    </row>
    <row r="18" spans="1:10">
      <c r="J18" s="49">
        <f>SUM(J11:J17)-0.01</f>
        <v>6566.8782593250444</v>
      </c>
    </row>
    <row r="19" spans="1:10">
      <c r="A19" s="4" t="s">
        <v>14</v>
      </c>
    </row>
    <row r="20" spans="1:10" ht="43.2">
      <c r="A20" s="67" t="s">
        <v>53</v>
      </c>
      <c r="B20" s="68"/>
      <c r="C20" s="32" t="s">
        <v>7</v>
      </c>
      <c r="D20" s="32" t="s">
        <v>8</v>
      </c>
      <c r="E20" s="32" t="s">
        <v>13</v>
      </c>
      <c r="F20" s="21" t="s">
        <v>19</v>
      </c>
      <c r="G20" s="21" t="s">
        <v>20</v>
      </c>
      <c r="H20" s="22" t="s">
        <v>31</v>
      </c>
      <c r="I20" s="22" t="s">
        <v>32</v>
      </c>
      <c r="J20" s="52" t="s">
        <v>61</v>
      </c>
    </row>
    <row r="21" spans="1:10">
      <c r="A21" s="64">
        <v>249</v>
      </c>
      <c r="B21" s="65"/>
      <c r="C21" s="23" t="s">
        <v>10</v>
      </c>
      <c r="D21" s="24">
        <v>1</v>
      </c>
      <c r="E21" s="23">
        <v>10</v>
      </c>
      <c r="F21" s="23">
        <v>99.3</v>
      </c>
      <c r="G21" s="23">
        <v>93</v>
      </c>
      <c r="H21" s="47">
        <f>(((C62*C58)/12*10))</f>
        <v>860.86589698046168</v>
      </c>
      <c r="I21" s="46">
        <f>((H62*C58)/12*10)</f>
        <v>99.067495559502646</v>
      </c>
      <c r="J21" s="25">
        <f t="shared" si="0"/>
        <v>959.9333925399643</v>
      </c>
    </row>
    <row r="22" spans="1:10">
      <c r="A22" s="64">
        <v>90</v>
      </c>
      <c r="B22" s="65"/>
      <c r="C22" s="23" t="s">
        <v>10</v>
      </c>
      <c r="D22" s="24">
        <v>1</v>
      </c>
      <c r="E22" s="23">
        <v>12</v>
      </c>
      <c r="F22" s="23">
        <v>100</v>
      </c>
      <c r="G22" s="23">
        <v>93</v>
      </c>
      <c r="H22" s="29">
        <f>C62*C58</f>
        <v>1033.039076376554</v>
      </c>
      <c r="I22" s="25">
        <f>H62*C58</f>
        <v>118.88099467140319</v>
      </c>
      <c r="J22" s="25">
        <f t="shared" si="0"/>
        <v>1151.9200710479572</v>
      </c>
    </row>
    <row r="23" spans="1:10">
      <c r="A23" s="64">
        <v>439</v>
      </c>
      <c r="B23" s="65"/>
      <c r="C23" s="23" t="s">
        <v>10</v>
      </c>
      <c r="D23" s="24">
        <v>1</v>
      </c>
      <c r="E23" s="23">
        <v>12</v>
      </c>
      <c r="F23" s="23">
        <v>96.2</v>
      </c>
      <c r="G23" s="23">
        <v>93</v>
      </c>
      <c r="H23" s="29">
        <f>C62*C58</f>
        <v>1033.039076376554</v>
      </c>
      <c r="I23" s="25">
        <f>H62*C58</f>
        <v>118.88099467140319</v>
      </c>
      <c r="J23" s="25">
        <f t="shared" si="0"/>
        <v>1151.9200710479572</v>
      </c>
    </row>
    <row r="24" spans="1:10">
      <c r="J24" s="59">
        <f>SUM(J21:J23)</f>
        <v>3263.7735346358786</v>
      </c>
    </row>
    <row r="25" spans="1:10">
      <c r="A25" s="4" t="s">
        <v>57</v>
      </c>
    </row>
    <row r="26" spans="1:10" ht="43.2">
      <c r="A26" s="67" t="s">
        <v>53</v>
      </c>
      <c r="B26" s="68"/>
      <c r="C26" s="32" t="s">
        <v>7</v>
      </c>
      <c r="D26" s="32" t="s">
        <v>8</v>
      </c>
      <c r="E26" s="32" t="s">
        <v>13</v>
      </c>
      <c r="F26" s="21" t="s">
        <v>19</v>
      </c>
      <c r="G26" s="21" t="s">
        <v>20</v>
      </c>
      <c r="H26" s="22" t="s">
        <v>31</v>
      </c>
      <c r="I26" s="22" t="s">
        <v>32</v>
      </c>
      <c r="J26" s="52" t="s">
        <v>61</v>
      </c>
    </row>
    <row r="27" spans="1:10">
      <c r="A27" s="64">
        <v>42</v>
      </c>
      <c r="B27" s="65"/>
      <c r="C27" s="23" t="s">
        <v>9</v>
      </c>
      <c r="D27" s="24">
        <v>1</v>
      </c>
      <c r="E27" s="23">
        <v>12</v>
      </c>
      <c r="F27" s="23">
        <v>91.3</v>
      </c>
      <c r="G27" s="23">
        <v>93</v>
      </c>
      <c r="H27" s="29">
        <f>C62*C59</f>
        <v>1167.7833037300179</v>
      </c>
      <c r="I27" s="25">
        <f>H62*C59</f>
        <v>134.38721136767319</v>
      </c>
      <c r="J27" s="25">
        <f t="shared" si="0"/>
        <v>1302.1705150976911</v>
      </c>
    </row>
    <row r="28" spans="1:10">
      <c r="A28" s="64">
        <v>44</v>
      </c>
      <c r="B28" s="65"/>
      <c r="C28" s="23" t="s">
        <v>10</v>
      </c>
      <c r="D28" s="24">
        <v>1</v>
      </c>
      <c r="E28" s="23">
        <v>12</v>
      </c>
      <c r="F28" s="23">
        <v>84.6</v>
      </c>
      <c r="G28" s="23">
        <v>93</v>
      </c>
      <c r="H28" s="28">
        <f>ROUND(((C62*C58)*80/100),2)</f>
        <v>826.43</v>
      </c>
      <c r="I28" s="25">
        <f>H62*C58</f>
        <v>118.88099467140319</v>
      </c>
      <c r="J28" s="25">
        <f t="shared" si="0"/>
        <v>945.31099467140314</v>
      </c>
    </row>
    <row r="29" spans="1:10">
      <c r="J29" s="59">
        <f>SUM(J27:J28)</f>
        <v>2247.4815097690944</v>
      </c>
    </row>
    <row r="30" spans="1:10">
      <c r="A30" s="4" t="s">
        <v>15</v>
      </c>
    </row>
    <row r="31" spans="1:10" ht="43.2">
      <c r="A31" s="67" t="s">
        <v>53</v>
      </c>
      <c r="B31" s="68"/>
      <c r="C31" s="32" t="s">
        <v>7</v>
      </c>
      <c r="D31" s="32" t="s">
        <v>8</v>
      </c>
      <c r="E31" s="32" t="s">
        <v>13</v>
      </c>
      <c r="F31" s="21" t="s">
        <v>19</v>
      </c>
      <c r="G31" s="21" t="s">
        <v>20</v>
      </c>
      <c r="H31" s="22" t="s">
        <v>31</v>
      </c>
      <c r="I31" s="22" t="s">
        <v>32</v>
      </c>
      <c r="J31" s="52" t="s">
        <v>61</v>
      </c>
    </row>
    <row r="32" spans="1:10">
      <c r="A32" s="64">
        <v>417</v>
      </c>
      <c r="B32" s="65"/>
      <c r="C32" s="23" t="s">
        <v>10</v>
      </c>
      <c r="D32" s="24">
        <v>1</v>
      </c>
      <c r="E32" s="23">
        <v>12</v>
      </c>
      <c r="F32" s="23">
        <v>100</v>
      </c>
      <c r="G32" s="23">
        <v>93</v>
      </c>
      <c r="H32" s="29">
        <f>C62*C58</f>
        <v>1033.039076376554</v>
      </c>
      <c r="I32" s="25">
        <f>H62*C58</f>
        <v>118.88099467140319</v>
      </c>
      <c r="J32" s="25">
        <f t="shared" si="0"/>
        <v>1151.9200710479572</v>
      </c>
    </row>
    <row r="33" spans="1:10">
      <c r="A33" s="64">
        <v>57</v>
      </c>
      <c r="B33" s="65"/>
      <c r="C33" s="23" t="s">
        <v>10</v>
      </c>
      <c r="D33" s="24">
        <v>1</v>
      </c>
      <c r="E33" s="23">
        <v>12</v>
      </c>
      <c r="F33" s="23">
        <v>95</v>
      </c>
      <c r="G33" s="23">
        <v>93</v>
      </c>
      <c r="H33" s="29">
        <f>C62*C58</f>
        <v>1033.039076376554</v>
      </c>
      <c r="I33" s="25">
        <f>H62*C58</f>
        <v>118.88099467140319</v>
      </c>
      <c r="J33" s="25">
        <f t="shared" si="0"/>
        <v>1151.9200710479572</v>
      </c>
    </row>
    <row r="34" spans="1:10">
      <c r="J34" s="59">
        <f>SUM(J32:J33)</f>
        <v>2303.8401420959144</v>
      </c>
    </row>
    <row r="35" spans="1:10">
      <c r="A35" s="4" t="s">
        <v>16</v>
      </c>
    </row>
    <row r="36" spans="1:10" ht="43.2">
      <c r="A36" s="67" t="s">
        <v>53</v>
      </c>
      <c r="B36" s="68"/>
      <c r="C36" s="32" t="s">
        <v>7</v>
      </c>
      <c r="D36" s="32" t="s">
        <v>8</v>
      </c>
      <c r="E36" s="32" t="s">
        <v>13</v>
      </c>
      <c r="F36" s="21" t="s">
        <v>19</v>
      </c>
      <c r="G36" s="21" t="s">
        <v>20</v>
      </c>
      <c r="H36" s="22" t="s">
        <v>31</v>
      </c>
      <c r="I36" s="22" t="s">
        <v>32</v>
      </c>
      <c r="J36" s="52" t="s">
        <v>61</v>
      </c>
    </row>
    <row r="37" spans="1:10">
      <c r="A37" s="64">
        <v>377</v>
      </c>
      <c r="B37" s="65"/>
      <c r="C37" s="23" t="s">
        <v>9</v>
      </c>
      <c r="D37" s="25">
        <v>83.33</v>
      </c>
      <c r="E37" s="23">
        <v>12</v>
      </c>
      <c r="F37" s="23">
        <v>100</v>
      </c>
      <c r="G37" s="23">
        <v>93</v>
      </c>
      <c r="H37" s="26">
        <f>ROUND(((C62*C59)*83.33/100),2)</f>
        <v>973.11</v>
      </c>
      <c r="I37" s="53">
        <f>((H62*C59)*83.33/100)</f>
        <v>111.98486323268207</v>
      </c>
      <c r="J37" s="51">
        <f>SUM(H37:I37)</f>
        <v>1085.0948632326822</v>
      </c>
    </row>
    <row r="38" spans="1:10">
      <c r="A38" s="64">
        <v>309</v>
      </c>
      <c r="B38" s="65"/>
      <c r="C38" s="23" t="s">
        <v>10</v>
      </c>
      <c r="D38" s="24">
        <v>1</v>
      </c>
      <c r="E38" s="23">
        <v>12</v>
      </c>
      <c r="F38" s="23">
        <v>91.3</v>
      </c>
      <c r="G38" s="23">
        <v>93</v>
      </c>
      <c r="H38" s="29">
        <f>C62*C58</f>
        <v>1033.039076376554</v>
      </c>
      <c r="I38" s="25">
        <f>H62*C58</f>
        <v>118.88099467140319</v>
      </c>
      <c r="J38" s="51">
        <f t="shared" si="0"/>
        <v>1151.9200710479572</v>
      </c>
    </row>
    <row r="39" spans="1:10">
      <c r="A39" s="64">
        <v>313</v>
      </c>
      <c r="B39" s="65"/>
      <c r="C39" s="23" t="s">
        <v>10</v>
      </c>
      <c r="D39" s="24">
        <v>1</v>
      </c>
      <c r="E39" s="23">
        <v>12</v>
      </c>
      <c r="F39" s="23">
        <v>100</v>
      </c>
      <c r="G39" s="23">
        <v>93</v>
      </c>
      <c r="H39" s="29">
        <f>C62*C58</f>
        <v>1033.039076376554</v>
      </c>
      <c r="I39" s="25">
        <f>H62*C58</f>
        <v>118.88099467140319</v>
      </c>
      <c r="J39" s="51">
        <f t="shared" si="0"/>
        <v>1151.9200710479572</v>
      </c>
    </row>
    <row r="40" spans="1:10">
      <c r="A40" s="64">
        <v>85</v>
      </c>
      <c r="B40" s="65"/>
      <c r="C40" s="23" t="s">
        <v>10</v>
      </c>
      <c r="D40" s="24">
        <v>1</v>
      </c>
      <c r="E40" s="23">
        <v>12</v>
      </c>
      <c r="F40" s="23">
        <v>95.8</v>
      </c>
      <c r="G40" s="23">
        <v>93</v>
      </c>
      <c r="H40" s="29">
        <f>C62*C58</f>
        <v>1033.039076376554</v>
      </c>
      <c r="I40" s="25">
        <f>H62*C58</f>
        <v>118.88099467140319</v>
      </c>
      <c r="J40" s="51">
        <f t="shared" si="0"/>
        <v>1151.9200710479572</v>
      </c>
    </row>
    <row r="41" spans="1:10">
      <c r="A41" s="64">
        <v>98</v>
      </c>
      <c r="B41" s="65"/>
      <c r="C41" s="23" t="s">
        <v>12</v>
      </c>
      <c r="D41" s="24">
        <v>1</v>
      </c>
      <c r="E41" s="23">
        <v>12</v>
      </c>
      <c r="F41" s="23">
        <v>81.900000000000006</v>
      </c>
      <c r="G41" s="23">
        <v>93</v>
      </c>
      <c r="H41" s="54">
        <f>((C62*C57)*80/100)</f>
        <v>718.63587921847238</v>
      </c>
      <c r="I41" s="23">
        <v>103.38</v>
      </c>
      <c r="J41" s="51">
        <f t="shared" si="0"/>
        <v>822.01587921847238</v>
      </c>
    </row>
    <row r="42" spans="1:10">
      <c r="A42" s="64">
        <v>79</v>
      </c>
      <c r="B42" s="65"/>
      <c r="C42" s="23" t="s">
        <v>12</v>
      </c>
      <c r="D42" s="24">
        <v>1</v>
      </c>
      <c r="E42" s="23">
        <v>12</v>
      </c>
      <c r="F42" s="23">
        <v>69.7</v>
      </c>
      <c r="G42" s="23">
        <v>93</v>
      </c>
      <c r="H42" s="33">
        <f>ROUND(((C62*C57)*65/100),2)</f>
        <v>583.89</v>
      </c>
      <c r="I42" s="23">
        <v>103.38</v>
      </c>
      <c r="J42" s="51">
        <f t="shared" si="0"/>
        <v>687.27</v>
      </c>
    </row>
    <row r="43" spans="1:10">
      <c r="A43" s="64">
        <v>245</v>
      </c>
      <c r="B43" s="65"/>
      <c r="C43" s="23" t="s">
        <v>12</v>
      </c>
      <c r="D43" s="24">
        <v>1</v>
      </c>
      <c r="E43" s="23">
        <v>12</v>
      </c>
      <c r="F43" s="23">
        <v>91.8</v>
      </c>
      <c r="G43" s="23">
        <v>93</v>
      </c>
      <c r="H43" s="29">
        <f>C62*C57</f>
        <v>898.29484902309059</v>
      </c>
      <c r="I43" s="23">
        <v>103.38</v>
      </c>
      <c r="J43" s="51">
        <f t="shared" si="0"/>
        <v>1001.6748490230906</v>
      </c>
    </row>
    <row r="44" spans="1:10">
      <c r="A44" s="64">
        <v>214</v>
      </c>
      <c r="B44" s="65"/>
      <c r="C44" s="23" t="s">
        <v>12</v>
      </c>
      <c r="D44" s="24">
        <v>1</v>
      </c>
      <c r="E44" s="23">
        <v>12</v>
      </c>
      <c r="F44" s="23">
        <v>87.2</v>
      </c>
      <c r="G44" s="23">
        <v>93</v>
      </c>
      <c r="H44" s="30">
        <f>ROUND(((C62*C57)*90/100),2)</f>
        <v>808.47</v>
      </c>
      <c r="I44" s="23">
        <v>103.38</v>
      </c>
      <c r="J44" s="51">
        <f t="shared" si="0"/>
        <v>911.85</v>
      </c>
    </row>
    <row r="45" spans="1:10">
      <c r="J45" s="49">
        <f>SUM(J37:J44)-0.01</f>
        <v>7963.6558046181171</v>
      </c>
    </row>
    <row r="46" spans="1:10">
      <c r="A46" s="4" t="s">
        <v>17</v>
      </c>
    </row>
    <row r="47" spans="1:10" ht="43.2">
      <c r="A47" s="67" t="s">
        <v>53</v>
      </c>
      <c r="B47" s="68"/>
      <c r="C47" s="32" t="s">
        <v>7</v>
      </c>
      <c r="D47" s="32" t="s">
        <v>8</v>
      </c>
      <c r="E47" s="32" t="s">
        <v>13</v>
      </c>
      <c r="F47" s="21" t="s">
        <v>19</v>
      </c>
      <c r="G47" s="21" t="s">
        <v>20</v>
      </c>
      <c r="H47" s="22" t="s">
        <v>31</v>
      </c>
      <c r="I47" s="22" t="s">
        <v>32</v>
      </c>
      <c r="J47" s="52" t="s">
        <v>61</v>
      </c>
    </row>
    <row r="48" spans="1:10">
      <c r="A48" s="64">
        <v>97</v>
      </c>
      <c r="B48" s="65"/>
      <c r="C48" s="23" t="s">
        <v>9</v>
      </c>
      <c r="D48" s="24">
        <v>1</v>
      </c>
      <c r="E48" s="23">
        <v>12</v>
      </c>
      <c r="F48" s="23">
        <v>93.9</v>
      </c>
      <c r="G48" s="23">
        <v>93</v>
      </c>
      <c r="H48" s="29">
        <f>C62*C59</f>
        <v>1167.7833037300179</v>
      </c>
      <c r="I48" s="25">
        <f>H62*C59</f>
        <v>134.38721136767319</v>
      </c>
      <c r="J48" s="25">
        <f t="shared" si="0"/>
        <v>1302.1705150976911</v>
      </c>
    </row>
    <row r="49" spans="1:11">
      <c r="A49" s="64">
        <v>252</v>
      </c>
      <c r="B49" s="65"/>
      <c r="C49" s="23" t="s">
        <v>10</v>
      </c>
      <c r="D49" s="24">
        <v>1</v>
      </c>
      <c r="E49" s="23">
        <v>12</v>
      </c>
      <c r="F49" s="23">
        <v>100</v>
      </c>
      <c r="G49" s="23">
        <v>93</v>
      </c>
      <c r="H49" s="29">
        <f>C62*C58</f>
        <v>1033.039076376554</v>
      </c>
      <c r="I49" s="25">
        <f>H62*C58</f>
        <v>118.88099467140319</v>
      </c>
      <c r="J49" s="25">
        <f t="shared" si="0"/>
        <v>1151.9200710479572</v>
      </c>
    </row>
    <row r="50" spans="1:11">
      <c r="A50" s="66">
        <v>251</v>
      </c>
      <c r="B50" s="66"/>
      <c r="C50" s="23" t="s">
        <v>10</v>
      </c>
      <c r="D50" s="24">
        <v>1</v>
      </c>
      <c r="E50" s="23">
        <v>12</v>
      </c>
      <c r="F50" s="23">
        <v>100</v>
      </c>
      <c r="G50" s="23">
        <v>93</v>
      </c>
      <c r="H50" s="29">
        <f>C62*C58</f>
        <v>1033.039076376554</v>
      </c>
      <c r="I50" s="25">
        <f>H62*C58</f>
        <v>118.88099467140319</v>
      </c>
      <c r="J50" s="25">
        <f t="shared" si="0"/>
        <v>1151.9200710479572</v>
      </c>
    </row>
    <row r="51" spans="1:11">
      <c r="A51" s="55"/>
      <c r="B51" s="55"/>
      <c r="C51" s="43"/>
      <c r="D51" s="56"/>
      <c r="E51" s="43"/>
      <c r="F51" s="43"/>
      <c r="G51" s="43"/>
      <c r="H51" s="57"/>
      <c r="I51" s="45"/>
      <c r="J51" s="58">
        <f>SUM(J48:J50)</f>
        <v>3606.0106571936058</v>
      </c>
    </row>
    <row r="52" spans="1:11">
      <c r="A52" s="55"/>
      <c r="B52" s="55"/>
      <c r="C52" s="43"/>
      <c r="D52" s="56"/>
      <c r="E52" s="43"/>
      <c r="F52" s="43"/>
      <c r="G52" s="43"/>
      <c r="H52" s="57"/>
      <c r="I52" s="45"/>
      <c r="J52" s="45"/>
    </row>
    <row r="53" spans="1:11" ht="17.399999999999999">
      <c r="A53" s="71"/>
      <c r="B53" s="71"/>
      <c r="C53" s="23"/>
      <c r="D53" s="23"/>
      <c r="E53" s="23"/>
      <c r="F53" s="23"/>
      <c r="G53" s="23"/>
      <c r="H53" s="29">
        <f>SUM(H11:H50)</f>
        <v>23163.96214920071</v>
      </c>
      <c r="I53" s="25">
        <f>SUM(I11:I50)</f>
        <v>2787.6977584369447</v>
      </c>
      <c r="J53" s="60">
        <f>J18+J24+J29+J34+J45+J51</f>
        <v>25951.639907637655</v>
      </c>
      <c r="K53" s="4" t="s">
        <v>62</v>
      </c>
    </row>
    <row r="54" spans="1:11">
      <c r="A54" s="42"/>
      <c r="B54" s="42"/>
      <c r="C54" s="43"/>
      <c r="D54" s="43"/>
      <c r="E54" s="43"/>
      <c r="F54" s="43"/>
      <c r="G54" s="43"/>
      <c r="H54" s="44"/>
      <c r="I54" s="45"/>
      <c r="J54" s="45"/>
    </row>
    <row r="55" spans="1:11">
      <c r="A55" s="42"/>
      <c r="B55" s="42"/>
      <c r="C55" s="43"/>
      <c r="D55" s="43"/>
      <c r="E55" s="43"/>
      <c r="F55" s="43"/>
      <c r="G55" s="43"/>
      <c r="H55" s="44"/>
      <c r="I55" s="45"/>
      <c r="J55" s="45"/>
    </row>
    <row r="56" spans="1:11">
      <c r="A56" t="s">
        <v>56</v>
      </c>
      <c r="B56" s="38" t="s">
        <v>25</v>
      </c>
      <c r="C56" t="s">
        <v>26</v>
      </c>
      <c r="D56" t="s">
        <v>27</v>
      </c>
    </row>
    <row r="57" spans="1:11" ht="14.4" customHeight="1">
      <c r="A57" t="s">
        <v>22</v>
      </c>
      <c r="B57" s="38">
        <v>8</v>
      </c>
      <c r="C57">
        <v>2</v>
      </c>
      <c r="D57" s="8">
        <f>B57*C57</f>
        <v>16</v>
      </c>
      <c r="H57" s="19" t="s">
        <v>52</v>
      </c>
      <c r="I57" s="19" t="s">
        <v>30</v>
      </c>
      <c r="J57" s="19" t="s">
        <v>58</v>
      </c>
    </row>
    <row r="58" spans="1:11">
      <c r="A58" t="s">
        <v>23</v>
      </c>
      <c r="B58" s="38">
        <v>13</v>
      </c>
      <c r="C58">
        <v>2.2999999999999998</v>
      </c>
      <c r="D58" s="8">
        <f t="shared" ref="D58:D59" si="1">B58*C58</f>
        <v>29.9</v>
      </c>
      <c r="H58" s="40">
        <f>H5-H53</f>
        <v>2123.03785079929</v>
      </c>
      <c r="I58" s="1">
        <f>H6-I53</f>
        <v>122.3022415630553</v>
      </c>
      <c r="J58" s="8">
        <f>SUM(H58:I58)</f>
        <v>2245.3400923623453</v>
      </c>
    </row>
    <row r="59" spans="1:11">
      <c r="A59" t="s">
        <v>24</v>
      </c>
      <c r="B59" s="38">
        <v>4</v>
      </c>
      <c r="C59">
        <v>2.6</v>
      </c>
      <c r="D59" s="8">
        <f t="shared" si="1"/>
        <v>10.4</v>
      </c>
    </row>
    <row r="60" spans="1:11">
      <c r="D60" s="8">
        <f>SUM(D57:D59)</f>
        <v>56.3</v>
      </c>
      <c r="H60" s="19"/>
      <c r="I60" s="2"/>
    </row>
    <row r="62" spans="1:11" ht="43.2">
      <c r="A62" s="15" t="s">
        <v>28</v>
      </c>
      <c r="C62" s="8">
        <f>H5/D60</f>
        <v>449.1474245115453</v>
      </c>
      <c r="F62" s="15" t="s">
        <v>29</v>
      </c>
      <c r="H62" s="41">
        <f>H6/D60</f>
        <v>51.687388987566607</v>
      </c>
    </row>
    <row r="64" spans="1:11">
      <c r="A64" s="18"/>
      <c r="B64" s="73" t="s">
        <v>33</v>
      </c>
      <c r="C64" s="73"/>
      <c r="D64" s="73"/>
      <c r="E64" s="73"/>
      <c r="F64" s="73"/>
    </row>
    <row r="65" spans="1:10">
      <c r="A65" s="12"/>
      <c r="B65" s="72" t="s">
        <v>34</v>
      </c>
      <c r="C65" s="72"/>
      <c r="D65" s="72"/>
      <c r="E65" s="72"/>
      <c r="F65" s="72"/>
    </row>
    <row r="66" spans="1:10">
      <c r="A66" s="14"/>
      <c r="B66" s="72" t="s">
        <v>36</v>
      </c>
      <c r="C66" s="72"/>
      <c r="D66" s="72"/>
      <c r="E66" s="72"/>
      <c r="F66" s="72"/>
    </row>
    <row r="67" spans="1:10">
      <c r="A67" s="13"/>
      <c r="B67" s="72" t="s">
        <v>35</v>
      </c>
      <c r="C67" s="72"/>
      <c r="D67" s="72"/>
      <c r="E67" s="72"/>
      <c r="F67" s="72"/>
    </row>
    <row r="68" spans="1:10">
      <c r="A68" s="11"/>
      <c r="B68" s="73" t="s">
        <v>59</v>
      </c>
      <c r="C68" s="73"/>
      <c r="D68" s="73"/>
      <c r="E68" s="73"/>
      <c r="F68" s="73"/>
    </row>
    <row r="69" spans="1:10">
      <c r="I69" s="61"/>
      <c r="J69" s="62"/>
    </row>
    <row r="70" spans="1:10">
      <c r="I70" s="63"/>
      <c r="J70" s="43"/>
    </row>
    <row r="71" spans="1:10">
      <c r="I71" s="43"/>
      <c r="J71" s="62"/>
    </row>
  </sheetData>
  <mergeCells count="37">
    <mergeCell ref="A53:B53"/>
    <mergeCell ref="B66:F66"/>
    <mergeCell ref="B67:F67"/>
    <mergeCell ref="B64:F64"/>
    <mergeCell ref="B68:F68"/>
    <mergeCell ref="B65:F65"/>
    <mergeCell ref="A28:B28"/>
    <mergeCell ref="A31:B31"/>
    <mergeCell ref="A32:B32"/>
    <mergeCell ref="A33:B33"/>
    <mergeCell ref="A47:B47"/>
    <mergeCell ref="A42:B42"/>
    <mergeCell ref="A43:B43"/>
    <mergeCell ref="A44:B44"/>
    <mergeCell ref="A50:B50"/>
    <mergeCell ref="A36:B36"/>
    <mergeCell ref="A10:B10"/>
    <mergeCell ref="A11:B11"/>
    <mergeCell ref="A12:B12"/>
    <mergeCell ref="A13:B13"/>
    <mergeCell ref="A14:B14"/>
    <mergeCell ref="A15:B15"/>
    <mergeCell ref="A16:B16"/>
    <mergeCell ref="A17:B17"/>
    <mergeCell ref="A20:B20"/>
    <mergeCell ref="A21:B21"/>
    <mergeCell ref="A22:B22"/>
    <mergeCell ref="A23:B23"/>
    <mergeCell ref="A26:B26"/>
    <mergeCell ref="A27:B27"/>
    <mergeCell ref="A48:B48"/>
    <mergeCell ref="A49:B49"/>
    <mergeCell ref="A37:B37"/>
    <mergeCell ref="A38:B38"/>
    <mergeCell ref="A39:B39"/>
    <mergeCell ref="A40:B40"/>
    <mergeCell ref="A41:B41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selection activeCell="K12" sqref="K12"/>
    </sheetView>
  </sheetViews>
  <sheetFormatPr defaultRowHeight="14.4"/>
  <cols>
    <col min="1" max="1" width="12.5546875" customWidth="1"/>
    <col min="2" max="2" width="12" customWidth="1"/>
    <col min="3" max="3" width="12.44140625" customWidth="1"/>
    <col min="4" max="4" width="10.88671875" customWidth="1"/>
    <col min="5" max="6" width="15.6640625" customWidth="1"/>
    <col min="7" max="7" width="14.6640625" customWidth="1"/>
    <col min="8" max="8" width="15.5546875" customWidth="1"/>
    <col min="9" max="9" width="12" bestFit="1" customWidth="1"/>
    <col min="10" max="10" width="19.33203125" customWidth="1"/>
  </cols>
  <sheetData>
    <row r="1" spans="1:10">
      <c r="A1" s="2" t="s">
        <v>48</v>
      </c>
    </row>
    <row r="3" spans="1:10">
      <c r="A3" s="2" t="s">
        <v>1</v>
      </c>
      <c r="D3" s="1"/>
      <c r="E3" s="1"/>
      <c r="F3" s="1"/>
      <c r="G3" s="1"/>
      <c r="H3" s="1"/>
      <c r="I3" s="1"/>
      <c r="J3" s="3">
        <v>50000</v>
      </c>
    </row>
    <row r="4" spans="1:10" ht="57.6" customHeight="1">
      <c r="A4" s="74" t="s">
        <v>53</v>
      </c>
      <c r="B4" s="74"/>
      <c r="C4" s="4" t="s">
        <v>7</v>
      </c>
      <c r="D4" s="4" t="s">
        <v>8</v>
      </c>
      <c r="E4" s="4" t="s">
        <v>13</v>
      </c>
      <c r="F4" s="4"/>
      <c r="G4" s="6" t="s">
        <v>19</v>
      </c>
      <c r="H4" s="6" t="s">
        <v>20</v>
      </c>
      <c r="I4" s="48" t="s">
        <v>60</v>
      </c>
      <c r="J4" s="6" t="s">
        <v>37</v>
      </c>
    </row>
    <row r="5" spans="1:10">
      <c r="A5" s="73">
        <v>223</v>
      </c>
      <c r="B5" s="73"/>
      <c r="C5" t="s">
        <v>9</v>
      </c>
      <c r="D5" s="5">
        <v>1</v>
      </c>
      <c r="E5">
        <v>12</v>
      </c>
      <c r="F5" s="1">
        <v>12911.63</v>
      </c>
      <c r="G5">
        <v>89</v>
      </c>
      <c r="H5">
        <v>93</v>
      </c>
      <c r="I5">
        <f>F5/B16</f>
        <v>0.33222947236732375</v>
      </c>
      <c r="J5" s="35">
        <f>((E18*I5)*90/100)</f>
        <v>2242.548938479435</v>
      </c>
    </row>
    <row r="6" spans="1:10">
      <c r="A6" s="73">
        <v>223</v>
      </c>
      <c r="B6" s="73"/>
      <c r="C6" t="s">
        <v>9</v>
      </c>
      <c r="D6" s="5">
        <v>1</v>
      </c>
      <c r="E6" s="7" t="s">
        <v>21</v>
      </c>
      <c r="F6" s="1">
        <v>12911.63</v>
      </c>
      <c r="G6">
        <v>90</v>
      </c>
      <c r="H6">
        <v>93</v>
      </c>
      <c r="I6">
        <f>F6/B16</f>
        <v>0.33222947236732375</v>
      </c>
      <c r="J6" s="37">
        <f>((E18*I6))*20/100</f>
        <v>498.34420855098563</v>
      </c>
    </row>
    <row r="7" spans="1:10">
      <c r="A7" s="73">
        <v>465</v>
      </c>
      <c r="B7" s="73"/>
      <c r="C7" t="s">
        <v>9</v>
      </c>
      <c r="D7" s="5">
        <v>1</v>
      </c>
      <c r="E7">
        <v>10</v>
      </c>
      <c r="F7" s="1">
        <v>12911.63</v>
      </c>
      <c r="G7">
        <v>94</v>
      </c>
      <c r="H7">
        <v>93</v>
      </c>
      <c r="I7">
        <f>F7/B16</f>
        <v>0.33222947236732375</v>
      </c>
      <c r="J7" s="36">
        <f>((E18*I7)/12*10)</f>
        <v>2076.4342022957735</v>
      </c>
    </row>
    <row r="8" spans="1:10">
      <c r="A8" s="73">
        <v>249</v>
      </c>
      <c r="B8" s="73"/>
      <c r="C8" t="s">
        <v>11</v>
      </c>
      <c r="D8" s="5">
        <v>1</v>
      </c>
      <c r="E8">
        <v>2</v>
      </c>
      <c r="F8" s="1">
        <v>12911.63</v>
      </c>
      <c r="G8">
        <v>94</v>
      </c>
      <c r="H8">
        <v>93</v>
      </c>
      <c r="I8">
        <f>F8/B16</f>
        <v>0.33222947236732375</v>
      </c>
      <c r="J8" s="36">
        <f>((E18*I8)/12*2)</f>
        <v>415.28684045915469</v>
      </c>
    </row>
    <row r="9" spans="1:10" ht="15" thickBot="1">
      <c r="A9" s="73">
        <v>46</v>
      </c>
      <c r="B9" s="73"/>
      <c r="C9" t="s">
        <v>9</v>
      </c>
      <c r="D9" s="5">
        <v>1</v>
      </c>
      <c r="E9">
        <v>12</v>
      </c>
      <c r="F9" s="1">
        <v>10458</v>
      </c>
      <c r="G9">
        <v>91</v>
      </c>
      <c r="H9">
        <v>93</v>
      </c>
      <c r="I9">
        <f>F9/B16</f>
        <v>0.26909505786778837</v>
      </c>
      <c r="J9" s="34">
        <f>((E18*I9))</f>
        <v>2018.2129340084127</v>
      </c>
    </row>
    <row r="10" spans="1:10" ht="15" thickBot="1">
      <c r="H10" t="s">
        <v>44</v>
      </c>
      <c r="J10" s="50">
        <f>SUM(J5:J9)-0.01</f>
        <v>7250.8171237937613</v>
      </c>
    </row>
    <row r="11" spans="1:10">
      <c r="A11" t="s">
        <v>49</v>
      </c>
    </row>
    <row r="12" spans="1:10">
      <c r="A12">
        <v>12911.63</v>
      </c>
      <c r="B12">
        <v>12911.63</v>
      </c>
      <c r="C12">
        <v>10458</v>
      </c>
      <c r="D12">
        <v>2582.33</v>
      </c>
      <c r="E12">
        <f>SUM(A12:D12)</f>
        <v>38863.589999999997</v>
      </c>
      <c r="J12" s="49">
        <f>J10+D12</f>
        <v>9833.1471237937621</v>
      </c>
    </row>
    <row r="13" spans="1:10">
      <c r="H13" t="s">
        <v>63</v>
      </c>
    </row>
    <row r="14" spans="1:10">
      <c r="A14" t="s">
        <v>45</v>
      </c>
    </row>
    <row r="15" spans="1:10" ht="43.2">
      <c r="A15" s="2" t="s">
        <v>46</v>
      </c>
      <c r="B15" s="19" t="s">
        <v>54</v>
      </c>
      <c r="C15" s="19" t="s">
        <v>55</v>
      </c>
      <c r="D15" s="2" t="s">
        <v>47</v>
      </c>
    </row>
    <row r="16" spans="1:10">
      <c r="A16" s="4">
        <v>50000</v>
      </c>
      <c r="B16" s="4">
        <v>38863.589999999997</v>
      </c>
      <c r="C16" s="49">
        <f>J10</f>
        <v>7250.8171237937613</v>
      </c>
      <c r="D16" s="3">
        <f>A16-B16-C16</f>
        <v>3885.5928762062422</v>
      </c>
    </row>
    <row r="18" spans="1:6">
      <c r="A18" t="s">
        <v>50</v>
      </c>
      <c r="E18" s="1">
        <v>7500</v>
      </c>
      <c r="F18" s="1"/>
    </row>
    <row r="20" spans="1:6">
      <c r="A20" s="10" t="s">
        <v>39</v>
      </c>
    </row>
    <row r="21" spans="1:6">
      <c r="A21" t="s">
        <v>38</v>
      </c>
    </row>
    <row r="22" spans="1:6">
      <c r="A22" t="s">
        <v>51</v>
      </c>
    </row>
    <row r="23" spans="1:6">
      <c r="A23" t="s">
        <v>40</v>
      </c>
    </row>
    <row r="25" spans="1:6">
      <c r="A25" s="12"/>
      <c r="B25" t="s">
        <v>41</v>
      </c>
    </row>
    <row r="26" spans="1:6">
      <c r="A26" s="11"/>
      <c r="B26" t="s">
        <v>42</v>
      </c>
    </row>
    <row r="27" spans="1:6">
      <c r="A27" s="9"/>
      <c r="B27" t="s">
        <v>43</v>
      </c>
    </row>
  </sheetData>
  <mergeCells count="6">
    <mergeCell ref="A9:B9"/>
    <mergeCell ref="A4:B4"/>
    <mergeCell ref="A5:B5"/>
    <mergeCell ref="A6:B6"/>
    <mergeCell ref="A7:B7"/>
    <mergeCell ref="A8:B8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PERSONALE NON PO</vt:lpstr>
      <vt:lpstr>PO E SEGRETARIO COMUNALE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2021-07-15T07:39:30Z</dcterms:modified>
</cp:coreProperties>
</file>