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0A211D28-20DC-4BEE-96BE-E4BC368A85CD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PERSONALE NON PO" sheetId="1" r:id="rId1"/>
    <sheet name="PO 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E87" i="1" l="1"/>
  <c r="E88" i="1"/>
  <c r="E89" i="1"/>
  <c r="F73" i="1"/>
  <c r="F72" i="1"/>
  <c r="F71" i="1"/>
  <c r="H15" i="2"/>
  <c r="I8" i="2" s="1"/>
  <c r="I15" i="2"/>
  <c r="I9" i="2" s="1"/>
  <c r="G15" i="2"/>
  <c r="I10" i="2" s="1"/>
  <c r="F15" i="2"/>
  <c r="I7" i="2" s="1"/>
  <c r="E15" i="2"/>
  <c r="I6" i="2" s="1"/>
  <c r="E90" i="1" l="1"/>
  <c r="D92" i="1" s="1"/>
  <c r="F74" i="1"/>
  <c r="B22" i="2"/>
  <c r="I92" i="1" l="1"/>
  <c r="J76" i="1"/>
  <c r="E76" i="1"/>
  <c r="L6" i="2"/>
  <c r="M6" i="2" s="1"/>
  <c r="L10" i="2"/>
  <c r="M10" i="2" s="1"/>
  <c r="K15" i="2"/>
  <c r="L8" i="2"/>
  <c r="M8" i="2" s="1"/>
  <c r="I3" i="1"/>
  <c r="L7" i="2" l="1"/>
  <c r="M7" i="2" s="1"/>
  <c r="L5" i="2"/>
  <c r="M5" i="2" s="1"/>
  <c r="M11" i="2" l="1"/>
  <c r="G22" i="2" l="1"/>
  <c r="J56" i="1"/>
  <c r="J55" i="1"/>
  <c r="J54" i="1"/>
  <c r="J53" i="1"/>
  <c r="J35" i="1"/>
  <c r="J37" i="1"/>
  <c r="J28" i="1"/>
  <c r="J14" i="1"/>
  <c r="J15" i="1"/>
  <c r="J49" i="1"/>
  <c r="I54" i="1" l="1"/>
  <c r="K54" i="1" s="1"/>
  <c r="I53" i="1"/>
  <c r="K53" i="1" s="1"/>
  <c r="I56" i="1"/>
  <c r="K56" i="1" s="1"/>
  <c r="I35" i="1"/>
  <c r="I37" i="1"/>
  <c r="K37" i="1" s="1"/>
  <c r="I28" i="1"/>
  <c r="K28" i="1" s="1"/>
  <c r="I36" i="1"/>
  <c r="I14" i="1"/>
  <c r="K14" i="1" s="1"/>
  <c r="I49" i="1"/>
  <c r="K49" i="1" s="1"/>
  <c r="J12" i="1"/>
  <c r="J13" i="1"/>
  <c r="J29" i="1"/>
  <c r="J43" i="1"/>
  <c r="J52" i="1"/>
  <c r="J63" i="1"/>
  <c r="J50" i="1"/>
  <c r="J62" i="1"/>
  <c r="J64" i="1"/>
  <c r="J44" i="1"/>
  <c r="J30" i="1"/>
  <c r="J51" i="1"/>
  <c r="J36" i="1"/>
  <c r="I12" i="1"/>
  <c r="I52" i="1"/>
  <c r="I43" i="1"/>
  <c r="I55" i="1"/>
  <c r="K55" i="1" s="1"/>
  <c r="I63" i="1"/>
  <c r="I50" i="1"/>
  <c r="K50" i="1" s="1"/>
  <c r="I29" i="1"/>
  <c r="I13" i="1"/>
  <c r="I44" i="1"/>
  <c r="I62" i="1"/>
  <c r="I15" i="1"/>
  <c r="K15" i="1" s="1"/>
  <c r="I30" i="1"/>
  <c r="I51" i="1"/>
  <c r="I64" i="1"/>
  <c r="K51" i="1" l="1"/>
  <c r="K52" i="1"/>
  <c r="K36" i="1"/>
  <c r="K62" i="1"/>
  <c r="K13" i="1"/>
  <c r="K64" i="1"/>
  <c r="K35" i="1"/>
  <c r="K44" i="1"/>
  <c r="K43" i="1"/>
  <c r="K29" i="1"/>
  <c r="K30" i="1"/>
  <c r="K63" i="1"/>
  <c r="J67" i="1"/>
  <c r="J88" i="1" s="1"/>
  <c r="K12" i="1"/>
  <c r="I67" i="1"/>
  <c r="I88" i="1" s="1"/>
  <c r="K88" i="1" l="1"/>
  <c r="J72" i="1"/>
  <c r="K72" i="1"/>
  <c r="K39" i="1"/>
  <c r="K58" i="1"/>
  <c r="K24" i="1"/>
  <c r="K31" i="1"/>
  <c r="K45" i="1"/>
  <c r="K65" i="1"/>
  <c r="L72" i="1" l="1"/>
  <c r="K67" i="1"/>
</calcChain>
</file>

<file path=xl/sharedStrings.xml><?xml version="1.0" encoding="utf-8"?>
<sst xmlns="http://schemas.openxmlformats.org/spreadsheetml/2006/main" count="185" uniqueCount="78">
  <si>
    <t>FONDO TOTALE</t>
  </si>
  <si>
    <t>DI CUI</t>
  </si>
  <si>
    <t>COMPENSO PERFORMANCE INDIVIDUALE</t>
  </si>
  <si>
    <t>COMPENSO PERFORMANCE ORGANIZZATIVA</t>
  </si>
  <si>
    <t>COMPENSO PER MAGGIORAZIONE PERFORMANCE INDIVIDUALE</t>
  </si>
  <si>
    <t>AREA LL.PP.</t>
  </si>
  <si>
    <t>CATEGORIA</t>
  </si>
  <si>
    <t>%ORARIO</t>
  </si>
  <si>
    <t>D</t>
  </si>
  <si>
    <t xml:space="preserve">C </t>
  </si>
  <si>
    <t>C</t>
  </si>
  <si>
    <t>B</t>
  </si>
  <si>
    <t>MESI LAVORATI</t>
  </si>
  <si>
    <t>AREA FINANZIARIA</t>
  </si>
  <si>
    <t>AREA ANAGRAFE E STATO CIVILE</t>
  </si>
  <si>
    <t>AREA AFFARI GENERALI E SERVIZI ALLA PERSONA</t>
  </si>
  <si>
    <t>AREA URBANISTICA</t>
  </si>
  <si>
    <t>VALUTAZIONE PERFORMANCE INDIVIDUALE</t>
  </si>
  <si>
    <t>VALUTAZIONE PERFORMANCE ORGANIZZATIVA</t>
  </si>
  <si>
    <t>CATEGORIE B</t>
  </si>
  <si>
    <t>CATEGORIE C</t>
  </si>
  <si>
    <t>CATEGORIE D</t>
  </si>
  <si>
    <t>N.</t>
  </si>
  <si>
    <t>PARAMETRO</t>
  </si>
  <si>
    <t>TOT</t>
  </si>
  <si>
    <t>VALORE PUNTO INDIVIDUALE</t>
  </si>
  <si>
    <t>VALORE PUNTO ORGANIZZATIVA DELL'ENTE</t>
  </si>
  <si>
    <t>RISPARMIO ORGANIZZATIVA</t>
  </si>
  <si>
    <t>TOTALE PREMIO INDIVIDUALE</t>
  </si>
  <si>
    <t>TOTALE PREMIO ORGANIZZATIVA</t>
  </si>
  <si>
    <t>RIDUZIONE PART-TIME 83,33%</t>
  </si>
  <si>
    <t>CORRISPOSTO IL 90% DEL PREMIO INDIVIDUALE DI CATEGORIA</t>
  </si>
  <si>
    <t>INDENNITA' DI RISULTATO (155)</t>
  </si>
  <si>
    <t>90% del massimo</t>
  </si>
  <si>
    <t>90% del massimo calcolato sulla proporzione del 20% dell'interim</t>
  </si>
  <si>
    <t>TOTALE</t>
  </si>
  <si>
    <t>FONDO</t>
  </si>
  <si>
    <t>AVANZO</t>
  </si>
  <si>
    <t>RISPARMIO INDIVIDUALE</t>
  </si>
  <si>
    <t>MATRICOLA</t>
  </si>
  <si>
    <t>INDENNITA' POSIZIONE</t>
  </si>
  <si>
    <t>INDENNITA' DI RISULTATO</t>
  </si>
  <si>
    <t>DIPENDENTI</t>
  </si>
  <si>
    <t>AREA POLIZIA LOCALE</t>
  </si>
  <si>
    <t xml:space="preserve">TOTALE RISPARMIO </t>
  </si>
  <si>
    <t>COEFF</t>
  </si>
  <si>
    <t xml:space="preserve"> DA LIQUIDARE </t>
  </si>
  <si>
    <t>DA UTILIZZARE PER PAGARE I MIGLIORI 6 AD ALMENO 4 AREE</t>
  </si>
  <si>
    <t xml:space="preserve">PREMIO 2021 TOTALE DA LIQUIDARE </t>
  </si>
  <si>
    <t>CORRISPOSTO IL 85% DEL PREMIO INDIVIDUALE DI CATEGORIA</t>
  </si>
  <si>
    <t>INDENNITA' RISULTATO 18% DI €. 50.000,00</t>
  </si>
  <si>
    <t>AVANZO DA DESTINARE ALL'ANNO 2022</t>
  </si>
  <si>
    <t>i 9200 devono essere riproporzionati sulla base dell'indennità erogata vedi esempio sotto</t>
  </si>
  <si>
    <t>12911,63/36097,61*100</t>
  </si>
  <si>
    <t>AL 83,33% FINO AL 31/08/2021 DAL 100% DAL 01/09/2021</t>
  </si>
  <si>
    <t>INDENNITA' RISULTATO ANNO 2022 P.O.</t>
  </si>
  <si>
    <t>INDENNITA' POSIZIONE ANNO 2022</t>
  </si>
  <si>
    <t>LL.PP.</t>
  </si>
  <si>
    <t>URBANISTICA</t>
  </si>
  <si>
    <t>FINANZIARIA</t>
  </si>
  <si>
    <t>FINANZ. 1 MESE</t>
  </si>
  <si>
    <t>FINANZ. 11 MESI</t>
  </si>
  <si>
    <t>VIGILANZA</t>
  </si>
  <si>
    <t>LLPP</t>
  </si>
  <si>
    <t>VIGILANZA dal 01-12</t>
  </si>
  <si>
    <t>ind. Pos rapportata</t>
  </si>
  <si>
    <t>PRODUTTIVITA' 2022</t>
  </si>
  <si>
    <t>NOTE</t>
  </si>
  <si>
    <t xml:space="preserve">PREMIO 2022 TOTALE DA LIQUIDARE </t>
  </si>
  <si>
    <t>al 50%  dal 08/11/2021</t>
  </si>
  <si>
    <t>cessato dal 01/05/2022</t>
  </si>
  <si>
    <t>assunto dal 02/05/2022</t>
  </si>
  <si>
    <t>assunto dal 03/10/2022</t>
  </si>
  <si>
    <t xml:space="preserve">dal 01/01/22 - 10/04/2022          100%    dal 20/04/2022 - 31/08/2022     100%                dal 12/9/2022 -  11/10/2022     100%                       </t>
  </si>
  <si>
    <t>dal 20/04/2022 - 31/08/2022    100%                 dal 12/9/2022 - 11/10/2022      100%</t>
  </si>
  <si>
    <t xml:space="preserve">dal 01/01/22 - 10/04/2022           50%                        </t>
  </si>
  <si>
    <t>dal 21/11/2022 p.t. 30 ore</t>
  </si>
  <si>
    <t>assunto dal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</si>
</sst>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1" fillId="0" borderId="0" xfId="0" applyFont="1"/>
    <xf numFmtId="9" fontId="0" fillId="0" borderId="0" xfId="0" applyNumberFormat="1"/>
    <xf numFmtId="0" fontId="1" fillId="0" borderId="0" xfId="0" applyFont="1" applyAlignment="1">
      <alignment wrapText="1"/>
    </xf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wrapText="1"/>
    </xf>
    <xf numFmtId="4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" fontId="1" fillId="0" borderId="0" xfId="0" applyNumberFormat="1" applyFont="1"/>
    <xf numFmtId="4" fontId="0" fillId="0" borderId="1" xfId="0" applyNumberFormat="1" applyBorder="1"/>
    <xf numFmtId="0" fontId="1" fillId="6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164" fontId="3" fillId="0" borderId="1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/>
    <xf numFmtId="2" fontId="0" fillId="7" borderId="1" xfId="0" applyNumberFormat="1" applyFill="1" applyBorder="1" applyAlignment="1">
      <alignment wrapText="1"/>
    </xf>
    <xf numFmtId="2" fontId="0" fillId="7" borderId="1" xfId="0" applyNumberFormat="1" applyFill="1" applyBorder="1"/>
    <xf numFmtId="0" fontId="0" fillId="8" borderId="1" xfId="0" applyFill="1" applyBorder="1"/>
    <xf numFmtId="2" fontId="0" fillId="8" borderId="1" xfId="0" applyNumberFormat="1" applyFill="1" applyBorder="1"/>
    <xf numFmtId="4" fontId="0" fillId="8" borderId="1" xfId="0" applyNumberFormat="1" applyFill="1" applyBorder="1"/>
    <xf numFmtId="4" fontId="0" fillId="7" borderId="1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8" borderId="0" xfId="0" applyFill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0" fontId="0" fillId="2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10" fontId="0" fillId="0" borderId="1" xfId="0" applyNumberFormat="1" applyBorder="1"/>
    <xf numFmtId="0" fontId="0" fillId="0" borderId="1" xfId="0" applyBorder="1" applyAlignment="1">
      <alignment horizontal="right"/>
    </xf>
    <xf numFmtId="2" fontId="0" fillId="7" borderId="0" xfId="0" applyNumberFormat="1" applyFill="1" applyAlignment="1">
      <alignment wrapText="1"/>
    </xf>
    <xf numFmtId="0" fontId="0" fillId="10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zoomScale="110" zoomScaleNormal="110" workbookViewId="0">
      <selection activeCell="C22" sqref="C12:C22"/>
    </sheetView>
  </sheetViews>
  <sheetFormatPr defaultRowHeight="15" x14ac:dyDescent="0.25"/>
  <cols>
    <col min="1" max="1" width="23" customWidth="1"/>
    <col min="2" max="2" width="13" style="22" customWidth="1"/>
    <col min="3" max="3" width="25" style="22" customWidth="1"/>
    <col min="4" max="4" width="12.42578125" customWidth="1"/>
    <col min="5" max="5" width="12.140625" bestFit="1" customWidth="1"/>
    <col min="6" max="6" width="14.5703125" customWidth="1"/>
    <col min="7" max="7" width="17.140625" customWidth="1"/>
    <col min="8" max="8" width="18.85546875" customWidth="1"/>
    <col min="9" max="9" width="19" style="12" customWidth="1"/>
    <col min="10" max="10" width="15.7109375" customWidth="1"/>
    <col min="11" max="11" width="24" customWidth="1"/>
    <col min="12" max="12" width="14.7109375" bestFit="1" customWidth="1"/>
  </cols>
  <sheetData>
    <row r="1" spans="1:12" x14ac:dyDescent="0.25">
      <c r="A1" s="2" t="s">
        <v>66</v>
      </c>
    </row>
    <row r="3" spans="1:12" x14ac:dyDescent="0.25">
      <c r="A3" s="2" t="s">
        <v>0</v>
      </c>
      <c r="E3" s="1"/>
      <c r="F3" s="1"/>
      <c r="G3" s="1"/>
      <c r="H3" s="1"/>
      <c r="I3" s="13">
        <f>SUM(I5:I7)</f>
        <v>38524</v>
      </c>
    </row>
    <row r="4" spans="1:12" x14ac:dyDescent="0.25">
      <c r="A4" s="4" t="s">
        <v>1</v>
      </c>
    </row>
    <row r="5" spans="1:12" x14ac:dyDescent="0.25">
      <c r="A5" s="4" t="s">
        <v>2</v>
      </c>
      <c r="G5" s="1"/>
      <c r="H5" s="1"/>
      <c r="I5" s="14">
        <v>33372</v>
      </c>
    </row>
    <row r="6" spans="1:12" x14ac:dyDescent="0.25">
      <c r="A6" s="4" t="s">
        <v>3</v>
      </c>
      <c r="G6" s="1"/>
      <c r="H6" s="1"/>
      <c r="I6" s="14">
        <v>3852</v>
      </c>
    </row>
    <row r="7" spans="1:12" x14ac:dyDescent="0.25">
      <c r="A7" s="4" t="s">
        <v>4</v>
      </c>
      <c r="I7" s="14">
        <v>1300</v>
      </c>
      <c r="J7" t="s">
        <v>47</v>
      </c>
    </row>
    <row r="9" spans="1:12" x14ac:dyDescent="0.25">
      <c r="A9" s="4" t="s">
        <v>5</v>
      </c>
    </row>
    <row r="10" spans="1:12" x14ac:dyDescent="0.25">
      <c r="A10" s="4"/>
    </row>
    <row r="11" spans="1:12" ht="45" x14ac:dyDescent="0.25">
      <c r="A11" s="44" t="s">
        <v>67</v>
      </c>
      <c r="B11" s="44" t="s">
        <v>39</v>
      </c>
      <c r="C11" s="45"/>
      <c r="D11" s="16" t="s">
        <v>6</v>
      </c>
      <c r="E11" s="16" t="s">
        <v>7</v>
      </c>
      <c r="F11" s="16" t="s">
        <v>12</v>
      </c>
      <c r="G11" s="61" t="s">
        <v>17</v>
      </c>
      <c r="H11" s="61" t="s">
        <v>18</v>
      </c>
      <c r="I11" s="17" t="s">
        <v>28</v>
      </c>
      <c r="J11" s="17" t="s">
        <v>29</v>
      </c>
      <c r="K11" s="28" t="s">
        <v>68</v>
      </c>
      <c r="L11" s="6"/>
    </row>
    <row r="12" spans="1:12" x14ac:dyDescent="0.25">
      <c r="A12" s="46"/>
      <c r="B12" s="43">
        <v>82</v>
      </c>
      <c r="C12" s="57"/>
      <c r="D12" s="42" t="s">
        <v>8</v>
      </c>
      <c r="E12" s="19">
        <v>1</v>
      </c>
      <c r="F12" s="18">
        <v>12</v>
      </c>
      <c r="G12" s="18">
        <v>97.3</v>
      </c>
      <c r="H12" s="18">
        <v>95</v>
      </c>
      <c r="I12" s="21">
        <f>D92*D89</f>
        <v>1488.2881646655233</v>
      </c>
      <c r="J12" s="20">
        <f>I92*D89</f>
        <v>171.78730703259004</v>
      </c>
      <c r="K12" s="27">
        <f>SUM(I12:J12)</f>
        <v>1660.0754716981132</v>
      </c>
    </row>
    <row r="13" spans="1:12" x14ac:dyDescent="0.25">
      <c r="A13" s="46"/>
      <c r="B13" s="43">
        <v>183</v>
      </c>
      <c r="C13" s="57"/>
      <c r="D13" s="42" t="s">
        <v>9</v>
      </c>
      <c r="E13" s="19">
        <v>1</v>
      </c>
      <c r="F13" s="18">
        <v>12</v>
      </c>
      <c r="G13" s="18">
        <v>99.3</v>
      </c>
      <c r="H13" s="18">
        <v>100</v>
      </c>
      <c r="I13" s="21">
        <f>D92*D88</f>
        <v>1316.5626072041166</v>
      </c>
      <c r="J13" s="20">
        <f>I92*D88</f>
        <v>151.9656946826758</v>
      </c>
      <c r="K13" s="27">
        <f t="shared" ref="K13:K64" si="0">SUM(I13:J13)</f>
        <v>1468.5283018867924</v>
      </c>
    </row>
    <row r="14" spans="1:12" x14ac:dyDescent="0.25">
      <c r="A14" s="46"/>
      <c r="B14" s="43">
        <v>457</v>
      </c>
      <c r="C14" s="57"/>
      <c r="D14" s="42" t="s">
        <v>10</v>
      </c>
      <c r="E14" s="19">
        <v>1</v>
      </c>
      <c r="F14" s="18">
        <v>12</v>
      </c>
      <c r="G14" s="18">
        <v>100</v>
      </c>
      <c r="H14" s="18">
        <v>100</v>
      </c>
      <c r="I14" s="21">
        <f>(D92*D88)/12*4</f>
        <v>438.85420240137222</v>
      </c>
      <c r="J14" s="20">
        <f>(I92*D88)/12*4</f>
        <v>50.655231560891934</v>
      </c>
      <c r="K14" s="27">
        <f t="shared" si="0"/>
        <v>489.50943396226415</v>
      </c>
    </row>
    <row r="15" spans="1:12" x14ac:dyDescent="0.25">
      <c r="A15" s="46"/>
      <c r="B15" s="43">
        <v>58</v>
      </c>
      <c r="C15" s="57"/>
      <c r="D15" s="42" t="s">
        <v>11</v>
      </c>
      <c r="E15" s="19">
        <v>1</v>
      </c>
      <c r="F15" s="18">
        <v>12</v>
      </c>
      <c r="G15" s="18">
        <v>97.7</v>
      </c>
      <c r="H15" s="18">
        <v>96</v>
      </c>
      <c r="I15" s="21">
        <f>D92*D87</f>
        <v>1144.8370497427102</v>
      </c>
      <c r="J15" s="20">
        <f>I92*D87</f>
        <v>132.14408233276157</v>
      </c>
      <c r="K15" s="27">
        <f t="shared" si="0"/>
        <v>1276.9811320754718</v>
      </c>
    </row>
    <row r="16" spans="1:12" x14ac:dyDescent="0.25">
      <c r="A16" s="43" t="s">
        <v>72</v>
      </c>
      <c r="B16" s="43">
        <v>474</v>
      </c>
      <c r="C16" s="57"/>
      <c r="D16" s="42" t="s">
        <v>11</v>
      </c>
      <c r="E16" s="19">
        <v>1</v>
      </c>
      <c r="F16" s="18"/>
      <c r="G16" s="18">
        <v>86.4</v>
      </c>
      <c r="H16" s="18">
        <v>10</v>
      </c>
      <c r="I16" s="33"/>
      <c r="J16" s="20"/>
      <c r="K16" s="27"/>
    </row>
    <row r="17" spans="1:11" x14ac:dyDescent="0.25">
      <c r="A17" s="43" t="s">
        <v>71</v>
      </c>
      <c r="B17" s="43">
        <v>472</v>
      </c>
      <c r="C17" s="57"/>
      <c r="D17" s="42" t="s">
        <v>11</v>
      </c>
      <c r="E17" s="19">
        <v>1</v>
      </c>
      <c r="F17" s="18"/>
      <c r="G17" s="18">
        <v>90.5</v>
      </c>
      <c r="H17" s="18">
        <v>10</v>
      </c>
      <c r="I17" s="33"/>
      <c r="J17" s="20"/>
      <c r="K17" s="27"/>
    </row>
    <row r="18" spans="1:11" x14ac:dyDescent="0.25">
      <c r="A18" s="43" t="s">
        <v>70</v>
      </c>
      <c r="B18" s="43">
        <v>467</v>
      </c>
      <c r="C18" s="57"/>
      <c r="D18" s="42" t="s">
        <v>11</v>
      </c>
      <c r="E18" s="19">
        <v>1</v>
      </c>
      <c r="F18" s="18"/>
      <c r="G18" s="18">
        <v>88.2</v>
      </c>
      <c r="H18" s="18">
        <v>10</v>
      </c>
      <c r="I18" s="33"/>
      <c r="J18" s="20"/>
      <c r="K18" s="27"/>
    </row>
    <row r="19" spans="1:11" ht="90" x14ac:dyDescent="0.25">
      <c r="A19" s="62" t="s">
        <v>73</v>
      </c>
      <c r="B19" s="43">
        <v>469</v>
      </c>
      <c r="C19" s="57"/>
      <c r="D19" s="42" t="s">
        <v>11</v>
      </c>
      <c r="E19" s="19">
        <v>1</v>
      </c>
      <c r="F19" s="18"/>
      <c r="G19" s="18">
        <v>86.9</v>
      </c>
      <c r="H19" s="18">
        <v>10</v>
      </c>
      <c r="I19" s="33"/>
      <c r="J19" s="20"/>
      <c r="K19" s="27"/>
    </row>
    <row r="20" spans="1:11" ht="30" x14ac:dyDescent="0.25">
      <c r="A20" s="62" t="s">
        <v>75</v>
      </c>
      <c r="B20" s="43">
        <v>470</v>
      </c>
      <c r="C20" s="57"/>
      <c r="D20" s="42" t="s">
        <v>11</v>
      </c>
      <c r="E20" s="19">
        <v>0.5</v>
      </c>
      <c r="F20" s="18"/>
      <c r="G20" s="18">
        <v>87.3</v>
      </c>
      <c r="H20" s="18">
        <v>10</v>
      </c>
      <c r="I20" s="33"/>
      <c r="J20" s="20"/>
      <c r="K20" s="27"/>
    </row>
    <row r="21" spans="1:11" ht="60" x14ac:dyDescent="0.25">
      <c r="A21" s="63" t="s">
        <v>74</v>
      </c>
      <c r="B21" s="43">
        <v>470</v>
      </c>
      <c r="C21" s="57"/>
      <c r="D21" s="42" t="s">
        <v>11</v>
      </c>
      <c r="E21" s="19">
        <v>1</v>
      </c>
      <c r="F21" s="18"/>
      <c r="G21" s="18"/>
      <c r="H21" s="18"/>
      <c r="I21" s="33"/>
      <c r="J21" s="20"/>
      <c r="K21" s="27"/>
    </row>
    <row r="22" spans="1:11" x14ac:dyDescent="0.25">
      <c r="A22" s="46" t="s">
        <v>69</v>
      </c>
      <c r="B22" s="43">
        <v>252</v>
      </c>
      <c r="C22" s="57"/>
      <c r="D22" s="42" t="s">
        <v>10</v>
      </c>
      <c r="E22" s="19">
        <v>0.5</v>
      </c>
      <c r="F22" s="18"/>
      <c r="G22" s="18">
        <v>99.3</v>
      </c>
      <c r="H22" s="18">
        <v>10</v>
      </c>
      <c r="I22" s="33"/>
      <c r="J22" s="20"/>
      <c r="K22" s="27"/>
    </row>
    <row r="23" spans="1:11" x14ac:dyDescent="0.25">
      <c r="A23" s="22"/>
      <c r="E23" s="5"/>
      <c r="I23" s="55"/>
      <c r="J23" s="7"/>
      <c r="K23" s="1"/>
    </row>
    <row r="24" spans="1:11" x14ac:dyDescent="0.25">
      <c r="K24" s="26">
        <f>SUM(K12:K15)</f>
        <v>4895.0943396226421</v>
      </c>
    </row>
    <row r="25" spans="1:11" x14ac:dyDescent="0.25">
      <c r="K25" s="26"/>
    </row>
    <row r="26" spans="1:11" x14ac:dyDescent="0.25">
      <c r="A26" s="4" t="s">
        <v>13</v>
      </c>
    </row>
    <row r="27" spans="1:11" ht="45" x14ac:dyDescent="0.25">
      <c r="A27" s="44" t="s">
        <v>67</v>
      </c>
      <c r="B27" s="44" t="s">
        <v>39</v>
      </c>
      <c r="C27" s="45"/>
      <c r="D27" s="60" t="s">
        <v>6</v>
      </c>
      <c r="E27" s="16" t="s">
        <v>7</v>
      </c>
      <c r="F27" s="60" t="s">
        <v>12</v>
      </c>
      <c r="G27" s="61" t="s">
        <v>17</v>
      </c>
      <c r="H27" s="61" t="s">
        <v>18</v>
      </c>
      <c r="I27" s="17" t="s">
        <v>28</v>
      </c>
      <c r="J27" s="17" t="s">
        <v>29</v>
      </c>
      <c r="K27" s="28" t="s">
        <v>68</v>
      </c>
    </row>
    <row r="28" spans="1:11" x14ac:dyDescent="0.25">
      <c r="A28" s="46"/>
      <c r="B28" s="46">
        <v>249</v>
      </c>
      <c r="C28" s="56"/>
      <c r="D28" s="42" t="s">
        <v>9</v>
      </c>
      <c r="E28" s="19">
        <v>1</v>
      </c>
      <c r="F28" s="18">
        <v>12</v>
      </c>
      <c r="G28" s="18">
        <v>99.5</v>
      </c>
      <c r="H28" s="18">
        <v>100</v>
      </c>
      <c r="I28" s="33">
        <f>(D92*D88)</f>
        <v>1316.5626072041166</v>
      </c>
      <c r="J28" s="34">
        <f>(I92*D88)</f>
        <v>151.9656946826758</v>
      </c>
      <c r="K28" s="20">
        <f t="shared" si="0"/>
        <v>1468.5283018867924</v>
      </c>
    </row>
    <row r="29" spans="1:11" x14ac:dyDescent="0.25">
      <c r="A29" s="46"/>
      <c r="B29" s="46">
        <v>90</v>
      </c>
      <c r="C29" s="56"/>
      <c r="D29" s="42" t="s">
        <v>9</v>
      </c>
      <c r="E29" s="19">
        <v>1</v>
      </c>
      <c r="F29" s="18">
        <v>12</v>
      </c>
      <c r="G29" s="18">
        <v>100</v>
      </c>
      <c r="H29" s="18">
        <v>100</v>
      </c>
      <c r="I29" s="21">
        <f>D92*D88</f>
        <v>1316.5626072041166</v>
      </c>
      <c r="J29" s="20">
        <f>I92*D88</f>
        <v>151.9656946826758</v>
      </c>
      <c r="K29" s="20">
        <f t="shared" si="0"/>
        <v>1468.5283018867924</v>
      </c>
    </row>
    <row r="30" spans="1:11" x14ac:dyDescent="0.25">
      <c r="A30" s="46"/>
      <c r="B30" s="46">
        <v>439</v>
      </c>
      <c r="C30" s="56"/>
      <c r="D30" s="42" t="s">
        <v>9</v>
      </c>
      <c r="E30" s="19">
        <v>1</v>
      </c>
      <c r="F30" s="18">
        <v>12</v>
      </c>
      <c r="G30" s="18">
        <v>91.7</v>
      </c>
      <c r="H30" s="18">
        <v>100</v>
      </c>
      <c r="I30" s="21">
        <f>D92*D88</f>
        <v>1316.5626072041166</v>
      </c>
      <c r="J30" s="20">
        <f>I92*D88</f>
        <v>151.9656946826758</v>
      </c>
      <c r="K30" s="20">
        <f t="shared" si="0"/>
        <v>1468.5283018867924</v>
      </c>
    </row>
    <row r="31" spans="1:11" x14ac:dyDescent="0.25">
      <c r="K31" s="29">
        <f>SUM(K28:K30)+0.01</f>
        <v>4405.5949056603777</v>
      </c>
    </row>
    <row r="32" spans="1:11" x14ac:dyDescent="0.25">
      <c r="K32" s="29"/>
    </row>
    <row r="33" spans="1:11" x14ac:dyDescent="0.25">
      <c r="A33" s="4" t="s">
        <v>43</v>
      </c>
    </row>
    <row r="34" spans="1:11" ht="45" x14ac:dyDescent="0.25">
      <c r="A34" s="44" t="s">
        <v>67</v>
      </c>
      <c r="B34" s="44" t="s">
        <v>39</v>
      </c>
      <c r="C34" s="45"/>
      <c r="D34" s="60" t="s">
        <v>6</v>
      </c>
      <c r="E34" s="60" t="s">
        <v>7</v>
      </c>
      <c r="F34" s="60" t="s">
        <v>12</v>
      </c>
      <c r="G34" s="61" t="s">
        <v>17</v>
      </c>
      <c r="H34" s="61" t="s">
        <v>18</v>
      </c>
      <c r="I34" s="17" t="s">
        <v>28</v>
      </c>
      <c r="J34" s="17" t="s">
        <v>29</v>
      </c>
      <c r="K34" s="28" t="s">
        <v>68</v>
      </c>
    </row>
    <row r="35" spans="1:11" x14ac:dyDescent="0.25">
      <c r="A35" s="46" t="s">
        <v>72</v>
      </c>
      <c r="B35" s="46">
        <v>42</v>
      </c>
      <c r="C35" s="58"/>
      <c r="D35" s="42" t="s">
        <v>8</v>
      </c>
      <c r="E35" s="19">
        <v>1</v>
      </c>
      <c r="F35" s="18">
        <v>12</v>
      </c>
      <c r="G35" s="18">
        <v>85.8</v>
      </c>
      <c r="H35" s="18">
        <v>82.5</v>
      </c>
      <c r="I35" s="21">
        <f>(D92*D89)*90/100</f>
        <v>1339.4593481989709</v>
      </c>
      <c r="J35" s="20">
        <f>(I92*D89)*85/100</f>
        <v>146.01921097770153</v>
      </c>
      <c r="K35" s="20">
        <f t="shared" si="0"/>
        <v>1485.4785591766724</v>
      </c>
    </row>
    <row r="36" spans="1:11" x14ac:dyDescent="0.25">
      <c r="A36" s="46"/>
      <c r="B36" s="46">
        <v>44</v>
      </c>
      <c r="C36" s="57"/>
      <c r="D36" s="42" t="s">
        <v>9</v>
      </c>
      <c r="E36" s="19">
        <v>1</v>
      </c>
      <c r="F36" s="18">
        <v>12</v>
      </c>
      <c r="G36" s="18">
        <v>91.6</v>
      </c>
      <c r="H36" s="18">
        <v>92.5</v>
      </c>
      <c r="I36" s="33">
        <f>(D92*D88)</f>
        <v>1316.5626072041166</v>
      </c>
      <c r="J36" s="20">
        <f>I92*D88</f>
        <v>151.9656946826758</v>
      </c>
      <c r="K36" s="20">
        <f t="shared" si="0"/>
        <v>1468.5283018867924</v>
      </c>
    </row>
    <row r="37" spans="1:11" x14ac:dyDescent="0.25">
      <c r="A37" s="43"/>
      <c r="B37" s="43">
        <v>361</v>
      </c>
      <c r="C37" s="57"/>
      <c r="D37" s="42" t="s">
        <v>11</v>
      </c>
      <c r="E37" s="19">
        <v>1</v>
      </c>
      <c r="F37" s="18">
        <v>6</v>
      </c>
      <c r="G37" s="18">
        <v>96.3</v>
      </c>
      <c r="H37" s="18">
        <v>100</v>
      </c>
      <c r="I37" s="33">
        <f>(D92*D87)/12*6</f>
        <v>572.41852487135509</v>
      </c>
      <c r="J37" s="20">
        <f>(I92*D87)/12*6</f>
        <v>66.072041166380785</v>
      </c>
      <c r="K37" s="20">
        <f t="shared" si="0"/>
        <v>638.4905660377359</v>
      </c>
    </row>
    <row r="38" spans="1:11" x14ac:dyDescent="0.25">
      <c r="A38" s="43"/>
      <c r="B38" s="43">
        <v>471</v>
      </c>
      <c r="C38" s="57"/>
      <c r="D38" s="42" t="s">
        <v>10</v>
      </c>
      <c r="E38" s="19">
        <v>1</v>
      </c>
      <c r="F38" s="18"/>
      <c r="G38" s="18"/>
      <c r="H38" s="18"/>
      <c r="I38" s="33"/>
      <c r="J38" s="20"/>
      <c r="K38" s="20"/>
    </row>
    <row r="39" spans="1:11" x14ac:dyDescent="0.25">
      <c r="K39" s="29">
        <f>SUM(K35:K37)</f>
        <v>3592.4974271012006</v>
      </c>
    </row>
    <row r="40" spans="1:11" x14ac:dyDescent="0.25">
      <c r="K40" s="29"/>
    </row>
    <row r="41" spans="1:11" x14ac:dyDescent="0.25">
      <c r="A41" s="4" t="s">
        <v>14</v>
      </c>
    </row>
    <row r="42" spans="1:11" ht="45" x14ac:dyDescent="0.25">
      <c r="A42" s="44"/>
      <c r="B42" s="44" t="s">
        <v>39</v>
      </c>
      <c r="C42" s="45"/>
      <c r="D42" s="60" t="s">
        <v>6</v>
      </c>
      <c r="E42" s="60" t="s">
        <v>7</v>
      </c>
      <c r="F42" s="60" t="s">
        <v>12</v>
      </c>
      <c r="G42" s="61" t="s">
        <v>17</v>
      </c>
      <c r="H42" s="61" t="s">
        <v>18</v>
      </c>
      <c r="I42" s="17" t="s">
        <v>28</v>
      </c>
      <c r="J42" s="17" t="s">
        <v>29</v>
      </c>
      <c r="K42" s="28" t="s">
        <v>48</v>
      </c>
    </row>
    <row r="43" spans="1:11" x14ac:dyDescent="0.25">
      <c r="A43" s="46"/>
      <c r="B43" s="46">
        <v>417</v>
      </c>
      <c r="C43" s="56"/>
      <c r="D43" s="42" t="s">
        <v>9</v>
      </c>
      <c r="E43" s="19">
        <v>1</v>
      </c>
      <c r="F43" s="18">
        <v>12</v>
      </c>
      <c r="G43" s="18">
        <v>100</v>
      </c>
      <c r="H43" s="18">
        <v>100</v>
      </c>
      <c r="I43" s="21">
        <f>D92*D88</f>
        <v>1316.5626072041166</v>
      </c>
      <c r="J43" s="20">
        <f>I92*D88</f>
        <v>151.9656946826758</v>
      </c>
      <c r="K43" s="20">
        <f t="shared" si="0"/>
        <v>1468.5283018867924</v>
      </c>
    </row>
    <row r="44" spans="1:11" x14ac:dyDescent="0.25">
      <c r="A44" s="46"/>
      <c r="B44" s="46">
        <v>57</v>
      </c>
      <c r="C44" s="56"/>
      <c r="D44" s="42" t="s">
        <v>9</v>
      </c>
      <c r="E44" s="19">
        <v>1</v>
      </c>
      <c r="F44" s="18">
        <v>12</v>
      </c>
      <c r="G44" s="18">
        <v>86.55</v>
      </c>
      <c r="H44" s="18">
        <v>80</v>
      </c>
      <c r="I44" s="21">
        <f>D92*D88</f>
        <v>1316.5626072041166</v>
      </c>
      <c r="J44" s="20">
        <f>I92*D88</f>
        <v>151.9656946826758</v>
      </c>
      <c r="K44" s="20">
        <f t="shared" si="0"/>
        <v>1468.5283018867924</v>
      </c>
    </row>
    <row r="45" spans="1:11" x14ac:dyDescent="0.25">
      <c r="K45" s="29">
        <f>SUM(K43:K44)</f>
        <v>2937.0566037735848</v>
      </c>
    </row>
    <row r="46" spans="1:11" x14ac:dyDescent="0.25">
      <c r="K46" s="29"/>
    </row>
    <row r="47" spans="1:11" x14ac:dyDescent="0.25">
      <c r="A47" s="4" t="s">
        <v>15</v>
      </c>
    </row>
    <row r="48" spans="1:11" ht="45" x14ac:dyDescent="0.25">
      <c r="A48" s="44" t="s">
        <v>67</v>
      </c>
      <c r="B48" s="44" t="s">
        <v>39</v>
      </c>
      <c r="C48" s="45"/>
      <c r="D48" s="60" t="s">
        <v>6</v>
      </c>
      <c r="E48" s="60" t="s">
        <v>7</v>
      </c>
      <c r="F48" s="60" t="s">
        <v>12</v>
      </c>
      <c r="G48" s="61" t="s">
        <v>17</v>
      </c>
      <c r="H48" s="61" t="s">
        <v>18</v>
      </c>
      <c r="I48" s="17" t="s">
        <v>28</v>
      </c>
      <c r="J48" s="17" t="s">
        <v>29</v>
      </c>
      <c r="K48" s="28" t="s">
        <v>68</v>
      </c>
    </row>
    <row r="49" spans="1:11" x14ac:dyDescent="0.25">
      <c r="A49" s="47"/>
      <c r="B49" s="47">
        <v>377</v>
      </c>
      <c r="C49" s="56"/>
      <c r="D49" s="59" t="s">
        <v>8</v>
      </c>
      <c r="E49" s="36">
        <v>83.33</v>
      </c>
      <c r="F49" s="35">
        <v>12</v>
      </c>
      <c r="G49" s="35">
        <v>100</v>
      </c>
      <c r="H49" s="35">
        <v>100</v>
      </c>
      <c r="I49" s="39">
        <f>ROUND(((D92*D89)*83.33/100),2)</f>
        <v>1240.19</v>
      </c>
      <c r="J49" s="37">
        <f>((I92*D89)*83.33/100)</f>
        <v>143.15036295025729</v>
      </c>
      <c r="K49" s="37">
        <f>SUM(I49:J49)</f>
        <v>1383.3403629502573</v>
      </c>
    </row>
    <row r="50" spans="1:11" x14ac:dyDescent="0.25">
      <c r="A50" s="46"/>
      <c r="B50" s="46">
        <v>309</v>
      </c>
      <c r="C50" s="56"/>
      <c r="D50" s="42" t="s">
        <v>9</v>
      </c>
      <c r="E50" s="19">
        <v>1</v>
      </c>
      <c r="F50" s="18">
        <v>12</v>
      </c>
      <c r="G50" s="18">
        <v>100</v>
      </c>
      <c r="H50" s="18">
        <v>100</v>
      </c>
      <c r="I50" s="21">
        <f>D92*D88</f>
        <v>1316.5626072041166</v>
      </c>
      <c r="J50" s="20">
        <f>I92*D88</f>
        <v>151.9656946826758</v>
      </c>
      <c r="K50" s="27">
        <f t="shared" si="0"/>
        <v>1468.5283018867924</v>
      </c>
    </row>
    <row r="51" spans="1:11" x14ac:dyDescent="0.25">
      <c r="A51" s="46"/>
      <c r="B51" s="46">
        <v>313</v>
      </c>
      <c r="C51" s="56"/>
      <c r="D51" s="42" t="s">
        <v>9</v>
      </c>
      <c r="E51" s="19">
        <v>1</v>
      </c>
      <c r="F51" s="18">
        <v>12</v>
      </c>
      <c r="G51" s="18">
        <v>100</v>
      </c>
      <c r="H51" s="18">
        <v>93</v>
      </c>
      <c r="I51" s="21">
        <f>D92*D88</f>
        <v>1316.5626072041166</v>
      </c>
      <c r="J51" s="20">
        <f>I92*D88</f>
        <v>151.9656946826758</v>
      </c>
      <c r="K51" s="27">
        <f t="shared" si="0"/>
        <v>1468.5283018867924</v>
      </c>
    </row>
    <row r="52" spans="1:11" x14ac:dyDescent="0.25">
      <c r="A52" s="46"/>
      <c r="B52" s="46">
        <v>85</v>
      </c>
      <c r="C52" s="56"/>
      <c r="D52" s="42" t="s">
        <v>9</v>
      </c>
      <c r="E52" s="19">
        <v>1</v>
      </c>
      <c r="F52" s="18">
        <v>12</v>
      </c>
      <c r="G52" s="18">
        <v>100</v>
      </c>
      <c r="H52" s="18">
        <v>100</v>
      </c>
      <c r="I52" s="21">
        <f>D92*D88</f>
        <v>1316.5626072041166</v>
      </c>
      <c r="J52" s="20">
        <f>I92*D88</f>
        <v>151.9656946826758</v>
      </c>
      <c r="K52" s="27">
        <f t="shared" si="0"/>
        <v>1468.5283018867924</v>
      </c>
    </row>
    <row r="53" spans="1:11" x14ac:dyDescent="0.25">
      <c r="A53" s="46"/>
      <c r="B53" s="46">
        <v>98</v>
      </c>
      <c r="C53" s="56"/>
      <c r="D53" s="42" t="s">
        <v>11</v>
      </c>
      <c r="E53" s="19">
        <v>1</v>
      </c>
      <c r="F53" s="18">
        <v>12</v>
      </c>
      <c r="G53" s="18">
        <v>96.85</v>
      </c>
      <c r="H53" s="18">
        <v>95</v>
      </c>
      <c r="I53" s="38">
        <f>(D92*D87)</f>
        <v>1144.8370497427102</v>
      </c>
      <c r="J53" s="20">
        <f>I92*D87</f>
        <v>132.14408233276157</v>
      </c>
      <c r="K53" s="27">
        <f t="shared" si="0"/>
        <v>1276.9811320754718</v>
      </c>
    </row>
    <row r="54" spans="1:11" x14ac:dyDescent="0.25">
      <c r="A54" s="46"/>
      <c r="B54" s="46">
        <v>79</v>
      </c>
      <c r="C54" s="56"/>
      <c r="D54" s="42" t="s">
        <v>11</v>
      </c>
      <c r="E54" s="19">
        <v>1</v>
      </c>
      <c r="F54" s="18">
        <v>12</v>
      </c>
      <c r="G54" s="18">
        <v>60</v>
      </c>
      <c r="H54" s="18">
        <v>60</v>
      </c>
      <c r="I54" s="33">
        <f>(D92*D87)*85/100</f>
        <v>973.11149228130364</v>
      </c>
      <c r="J54" s="33">
        <f>(I92*D87)*90/100</f>
        <v>118.92967409948542</v>
      </c>
      <c r="K54" s="27">
        <f t="shared" si="0"/>
        <v>1092.041166380789</v>
      </c>
    </row>
    <row r="55" spans="1:11" x14ac:dyDescent="0.25">
      <c r="A55" s="46"/>
      <c r="B55" s="46">
        <v>245</v>
      </c>
      <c r="C55" s="56"/>
      <c r="D55" s="42" t="s">
        <v>11</v>
      </c>
      <c r="E55" s="19">
        <v>1</v>
      </c>
      <c r="F55" s="18">
        <v>12</v>
      </c>
      <c r="G55" s="18">
        <v>60.83</v>
      </c>
      <c r="H55" s="18">
        <v>70</v>
      </c>
      <c r="I55" s="21">
        <f>D92*D87</f>
        <v>1144.8370497427102</v>
      </c>
      <c r="J55" s="33">
        <f>(I92*D87)</f>
        <v>132.14408233276157</v>
      </c>
      <c r="K55" s="27">
        <f t="shared" si="0"/>
        <v>1276.9811320754718</v>
      </c>
    </row>
    <row r="56" spans="1:11" x14ac:dyDescent="0.25">
      <c r="A56" s="46"/>
      <c r="B56" s="46">
        <v>214</v>
      </c>
      <c r="C56" s="56"/>
      <c r="D56" s="42" t="s">
        <v>11</v>
      </c>
      <c r="E56" s="19">
        <v>1</v>
      </c>
      <c r="F56" s="18">
        <v>12</v>
      </c>
      <c r="G56" s="18">
        <v>100</v>
      </c>
      <c r="H56" s="18">
        <v>100</v>
      </c>
      <c r="I56" s="33">
        <f>(D92*D87)</f>
        <v>1144.8370497427102</v>
      </c>
      <c r="J56" s="33">
        <f>(I92*D87)</f>
        <v>132.14408233276157</v>
      </c>
      <c r="K56" s="27">
        <f t="shared" si="0"/>
        <v>1276.9811320754718</v>
      </c>
    </row>
    <row r="57" spans="1:11" x14ac:dyDescent="0.25">
      <c r="A57" s="43" t="s">
        <v>76</v>
      </c>
      <c r="B57" s="43">
        <v>476</v>
      </c>
      <c r="C57" s="58"/>
      <c r="D57" s="42" t="s">
        <v>11</v>
      </c>
      <c r="E57" s="19">
        <v>0.83330000000000004</v>
      </c>
      <c r="F57" s="18"/>
      <c r="G57" s="18">
        <v>45.5</v>
      </c>
      <c r="H57" s="18">
        <v>40</v>
      </c>
      <c r="I57" s="33"/>
      <c r="J57" s="33"/>
      <c r="K57" s="27"/>
    </row>
    <row r="58" spans="1:11" x14ac:dyDescent="0.25">
      <c r="K58" s="26">
        <f>SUM(K49:K56)-0.01</f>
        <v>10711.899831217839</v>
      </c>
    </row>
    <row r="59" spans="1:11" x14ac:dyDescent="0.25">
      <c r="K59" s="26"/>
    </row>
    <row r="60" spans="1:11" x14ac:dyDescent="0.25">
      <c r="A60" s="4" t="s">
        <v>16</v>
      </c>
    </row>
    <row r="61" spans="1:11" ht="45" x14ac:dyDescent="0.25">
      <c r="A61" s="44" t="s">
        <v>67</v>
      </c>
      <c r="B61" s="44" t="s">
        <v>39</v>
      </c>
      <c r="C61" s="45"/>
      <c r="D61" s="60" t="s">
        <v>6</v>
      </c>
      <c r="E61" s="60" t="s">
        <v>7</v>
      </c>
      <c r="F61" s="60" t="s">
        <v>12</v>
      </c>
      <c r="G61" s="61" t="s">
        <v>17</v>
      </c>
      <c r="H61" s="61" t="s">
        <v>18</v>
      </c>
      <c r="I61" s="17" t="s">
        <v>28</v>
      </c>
      <c r="J61" s="17" t="s">
        <v>29</v>
      </c>
      <c r="K61" s="28" t="s">
        <v>68</v>
      </c>
    </row>
    <row r="62" spans="1:11" x14ac:dyDescent="0.25">
      <c r="A62" s="46"/>
      <c r="B62" s="43">
        <v>97</v>
      </c>
      <c r="C62" s="57"/>
      <c r="D62" s="42" t="s">
        <v>8</v>
      </c>
      <c r="E62" s="19">
        <v>1</v>
      </c>
      <c r="F62" s="18">
        <v>12</v>
      </c>
      <c r="G62" s="18">
        <v>100</v>
      </c>
      <c r="H62" s="18">
        <v>100</v>
      </c>
      <c r="I62" s="21">
        <f>D92*D89</f>
        <v>1488.2881646655233</v>
      </c>
      <c r="J62" s="20">
        <f>I92*D89</f>
        <v>171.78730703259004</v>
      </c>
      <c r="K62" s="20">
        <f t="shared" si="0"/>
        <v>1660.0754716981132</v>
      </c>
    </row>
    <row r="63" spans="1:11" x14ac:dyDescent="0.25">
      <c r="A63" s="46" t="s">
        <v>69</v>
      </c>
      <c r="B63" s="43">
        <v>252</v>
      </c>
      <c r="C63" s="57"/>
      <c r="D63" s="42" t="s">
        <v>9</v>
      </c>
      <c r="E63" s="19">
        <v>0.5</v>
      </c>
      <c r="F63" s="18">
        <v>12</v>
      </c>
      <c r="G63" s="18">
        <v>100</v>
      </c>
      <c r="H63" s="18">
        <v>100</v>
      </c>
      <c r="I63" s="21">
        <f>D92*D88</f>
        <v>1316.5626072041166</v>
      </c>
      <c r="J63" s="20">
        <f>I92*D88</f>
        <v>151.9656946826758</v>
      </c>
      <c r="K63" s="20">
        <f t="shared" si="0"/>
        <v>1468.5283018867924</v>
      </c>
    </row>
    <row r="64" spans="1:11" x14ac:dyDescent="0.25">
      <c r="A64" s="43"/>
      <c r="B64" s="43">
        <v>251</v>
      </c>
      <c r="C64" s="57"/>
      <c r="D64" s="42" t="s">
        <v>9</v>
      </c>
      <c r="E64" s="19">
        <v>1</v>
      </c>
      <c r="F64" s="18">
        <v>12</v>
      </c>
      <c r="G64" s="18">
        <v>97.9</v>
      </c>
      <c r="H64" s="18">
        <v>100</v>
      </c>
      <c r="I64" s="21">
        <f>D92*D88</f>
        <v>1316.5626072041166</v>
      </c>
      <c r="J64" s="20">
        <f>I92*D88</f>
        <v>151.9656946826758</v>
      </c>
      <c r="K64" s="20">
        <f t="shared" si="0"/>
        <v>1468.5283018867924</v>
      </c>
    </row>
    <row r="65" spans="1:12" x14ac:dyDescent="0.25">
      <c r="A65" s="22"/>
      <c r="E65" s="5"/>
      <c r="I65" s="24"/>
      <c r="J65" s="7"/>
      <c r="K65" s="29">
        <f>SUM(K62:K64)</f>
        <v>4597.132075471698</v>
      </c>
    </row>
    <row r="66" spans="1:12" x14ac:dyDescent="0.25">
      <c r="A66" s="22"/>
      <c r="E66" s="5"/>
      <c r="I66" s="24"/>
      <c r="J66" s="7"/>
      <c r="K66" s="7"/>
    </row>
    <row r="67" spans="1:12" ht="17.25" x14ac:dyDescent="0.3">
      <c r="A67" s="67"/>
      <c r="B67" s="67"/>
      <c r="C67" s="42"/>
      <c r="D67" s="18"/>
      <c r="E67" s="18"/>
      <c r="F67" s="18"/>
      <c r="G67" s="18"/>
      <c r="H67" s="18"/>
      <c r="I67" s="21">
        <f>SUM(I12:I64)</f>
        <v>27918.709382504279</v>
      </c>
      <c r="J67" s="20">
        <f>SUM(J12:J64)</f>
        <v>3220.5658003430531</v>
      </c>
      <c r="K67" s="30">
        <f>K24+K31+K39+K45+K58+K65</f>
        <v>31139.275182847345</v>
      </c>
      <c r="L67" s="4" t="s">
        <v>46</v>
      </c>
    </row>
    <row r="68" spans="1:12" x14ac:dyDescent="0.25">
      <c r="A68" s="25"/>
      <c r="B68" s="25"/>
      <c r="C68" s="25"/>
      <c r="J68" s="7"/>
      <c r="K68" s="7"/>
    </row>
    <row r="69" spans="1:12" x14ac:dyDescent="0.25">
      <c r="A69" s="25"/>
      <c r="B69" s="25"/>
      <c r="C69" s="25"/>
      <c r="J69" s="7"/>
      <c r="K69" s="7"/>
    </row>
    <row r="70" spans="1:12" x14ac:dyDescent="0.25">
      <c r="A70" s="25"/>
      <c r="B70" t="s">
        <v>42</v>
      </c>
      <c r="C70" s="22" t="s">
        <v>22</v>
      </c>
      <c r="D70" s="22"/>
      <c r="E70" t="s">
        <v>23</v>
      </c>
      <c r="F70" t="s">
        <v>24</v>
      </c>
      <c r="I70"/>
      <c r="J70" s="12"/>
    </row>
    <row r="71" spans="1:12" ht="30" x14ac:dyDescent="0.25">
      <c r="A71" s="25"/>
      <c r="B71" t="s">
        <v>19</v>
      </c>
      <c r="C71" s="22">
        <v>9</v>
      </c>
      <c r="D71" s="22"/>
      <c r="E71">
        <v>2</v>
      </c>
      <c r="F71" s="7">
        <f>C71*E71</f>
        <v>18</v>
      </c>
      <c r="I71"/>
      <c r="J71" s="15" t="s">
        <v>38</v>
      </c>
      <c r="K71" s="15" t="s">
        <v>27</v>
      </c>
      <c r="L71" s="15" t="s">
        <v>44</v>
      </c>
    </row>
    <row r="72" spans="1:12" x14ac:dyDescent="0.25">
      <c r="A72" s="25"/>
      <c r="B72" t="s">
        <v>20</v>
      </c>
      <c r="C72" s="22">
        <v>13</v>
      </c>
      <c r="D72" s="22"/>
      <c r="E72">
        <v>2.2999999999999998</v>
      </c>
      <c r="F72" s="7">
        <f>C72*E72</f>
        <v>29.9</v>
      </c>
      <c r="I72"/>
      <c r="J72" s="23">
        <f>I5-I67</f>
        <v>5453.2906174957207</v>
      </c>
      <c r="K72" s="1">
        <f>I6-J67</f>
        <v>631.43419965694693</v>
      </c>
      <c r="L72" s="7">
        <f>SUM(J72:K72)</f>
        <v>6084.724817152668</v>
      </c>
    </row>
    <row r="73" spans="1:12" x14ac:dyDescent="0.25">
      <c r="A73" s="25"/>
      <c r="B73" t="s">
        <v>21</v>
      </c>
      <c r="C73" s="22">
        <v>4</v>
      </c>
      <c r="D73" s="22"/>
      <c r="E73">
        <v>2.6</v>
      </c>
      <c r="F73" s="7">
        <f>C73*E73</f>
        <v>10.4</v>
      </c>
      <c r="I73"/>
      <c r="J73" s="12"/>
    </row>
    <row r="74" spans="1:12" x14ac:dyDescent="0.25">
      <c r="A74" s="25"/>
      <c r="B74"/>
      <c r="D74" s="22"/>
      <c r="F74" s="7">
        <f>SUM(F71:F73)</f>
        <v>58.3</v>
      </c>
      <c r="I74"/>
      <c r="J74" s="15"/>
      <c r="K74" s="2"/>
    </row>
    <row r="75" spans="1:12" x14ac:dyDescent="0.25">
      <c r="A75" s="25"/>
      <c r="B75" s="25"/>
      <c r="C75" s="25"/>
      <c r="J75" s="7"/>
      <c r="K75" s="7"/>
    </row>
    <row r="76" spans="1:12" ht="45" x14ac:dyDescent="0.25">
      <c r="A76" s="25"/>
      <c r="B76" s="12" t="s">
        <v>25</v>
      </c>
      <c r="D76" s="22"/>
      <c r="E76" s="7">
        <f>I5/F74</f>
        <v>572.41852487135509</v>
      </c>
      <c r="H76" s="12" t="s">
        <v>26</v>
      </c>
      <c r="I76"/>
      <c r="J76" s="24">
        <f>I6/F74</f>
        <v>66.072041166380785</v>
      </c>
      <c r="K76" s="7"/>
    </row>
    <row r="77" spans="1:12" x14ac:dyDescent="0.25">
      <c r="A77" s="25"/>
      <c r="B77" s="25"/>
      <c r="C77" s="25"/>
      <c r="J77" s="7"/>
      <c r="K77" s="7"/>
    </row>
    <row r="78" spans="1:12" x14ac:dyDescent="0.25">
      <c r="A78" s="25"/>
      <c r="B78" s="25"/>
      <c r="C78" s="25"/>
      <c r="J78" s="7"/>
      <c r="K78" s="7"/>
    </row>
    <row r="79" spans="1:12" x14ac:dyDescent="0.25">
      <c r="A79" s="25"/>
      <c r="B79" s="25"/>
      <c r="C79" s="25"/>
      <c r="J79" s="7"/>
      <c r="K79" s="7"/>
    </row>
    <row r="80" spans="1:12" x14ac:dyDescent="0.25">
      <c r="A80" s="25"/>
      <c r="B80" s="25"/>
      <c r="C80" s="25"/>
      <c r="J80" s="7"/>
      <c r="K80" s="7"/>
    </row>
    <row r="81" spans="1:11" x14ac:dyDescent="0.25">
      <c r="A81" s="25"/>
      <c r="B81" s="25"/>
      <c r="C81" s="25"/>
      <c r="J81" s="7"/>
      <c r="K81" s="7"/>
    </row>
    <row r="82" spans="1:11" x14ac:dyDescent="0.25">
      <c r="A82" s="25"/>
      <c r="B82" s="25"/>
      <c r="C82" s="25"/>
      <c r="J82" s="7"/>
      <c r="K82" s="7"/>
    </row>
    <row r="83" spans="1:11" x14ac:dyDescent="0.25">
      <c r="A83" s="25"/>
      <c r="B83" s="25"/>
      <c r="C83" s="25"/>
      <c r="J83" s="7"/>
      <c r="K83" s="7"/>
    </row>
    <row r="84" spans="1:11" x14ac:dyDescent="0.25">
      <c r="A84" s="25"/>
      <c r="B84" s="25"/>
      <c r="C84" s="25"/>
      <c r="J84" s="7"/>
      <c r="K84" s="7"/>
    </row>
    <row r="85" spans="1:11" x14ac:dyDescent="0.25">
      <c r="A85" s="25"/>
      <c r="B85" s="25"/>
      <c r="C85" s="25"/>
      <c r="J85" s="7"/>
      <c r="K85" s="7"/>
    </row>
    <row r="86" spans="1:11" x14ac:dyDescent="0.25">
      <c r="A86" t="s">
        <v>42</v>
      </c>
      <c r="B86" s="22" t="s">
        <v>22</v>
      </c>
      <c r="D86" t="s">
        <v>23</v>
      </c>
      <c r="E86" t="s">
        <v>24</v>
      </c>
    </row>
    <row r="87" spans="1:11" ht="14.45" customHeight="1" x14ac:dyDescent="0.25">
      <c r="A87" t="s">
        <v>19</v>
      </c>
      <c r="B87" s="22">
        <v>9</v>
      </c>
      <c r="D87">
        <v>2</v>
      </c>
      <c r="E87" s="7">
        <f>B87*D87</f>
        <v>18</v>
      </c>
      <c r="I87" s="15" t="s">
        <v>38</v>
      </c>
      <c r="J87" s="15" t="s">
        <v>27</v>
      </c>
      <c r="K87" s="15" t="s">
        <v>44</v>
      </c>
    </row>
    <row r="88" spans="1:11" x14ac:dyDescent="0.25">
      <c r="A88" t="s">
        <v>20</v>
      </c>
      <c r="B88" s="22">
        <v>13</v>
      </c>
      <c r="D88">
        <v>2.2999999999999998</v>
      </c>
      <c r="E88" s="7">
        <f>B88*D88</f>
        <v>29.9</v>
      </c>
      <c r="I88" s="23">
        <f>I5-I67</f>
        <v>5453.2906174957207</v>
      </c>
      <c r="J88" s="1">
        <f>I6-J67</f>
        <v>631.43419965694693</v>
      </c>
      <c r="K88" s="7">
        <f>SUM(I88:J88)</f>
        <v>6084.724817152668</v>
      </c>
    </row>
    <row r="89" spans="1:11" x14ac:dyDescent="0.25">
      <c r="A89" t="s">
        <v>21</v>
      </c>
      <c r="B89" s="22">
        <v>4</v>
      </c>
      <c r="D89">
        <v>2.6</v>
      </c>
      <c r="E89" s="7">
        <f>B89*D89</f>
        <v>10.4</v>
      </c>
    </row>
    <row r="90" spans="1:11" x14ac:dyDescent="0.25">
      <c r="E90" s="7">
        <f>SUM(E87:E89)</f>
        <v>58.3</v>
      </c>
      <c r="I90" s="15"/>
      <c r="J90" s="2"/>
    </row>
    <row r="92" spans="1:11" ht="45" x14ac:dyDescent="0.25">
      <c r="A92" s="12" t="s">
        <v>25</v>
      </c>
      <c r="D92" s="7">
        <f>I5/E90</f>
        <v>572.41852487135509</v>
      </c>
      <c r="G92" s="12" t="s">
        <v>26</v>
      </c>
      <c r="I92" s="24">
        <f>I6/E90</f>
        <v>66.072041166380785</v>
      </c>
    </row>
    <row r="94" spans="1:11" x14ac:dyDescent="0.25">
      <c r="A94" s="40"/>
      <c r="B94" s="69" t="s">
        <v>30</v>
      </c>
      <c r="C94" s="69"/>
      <c r="D94" s="69"/>
      <c r="E94" s="69"/>
      <c r="F94" s="69"/>
      <c r="G94" s="69"/>
    </row>
    <row r="95" spans="1:11" x14ac:dyDescent="0.25">
      <c r="A95" s="10"/>
      <c r="B95" s="68" t="s">
        <v>49</v>
      </c>
      <c r="C95" s="68"/>
      <c r="D95" s="68"/>
      <c r="E95" s="68"/>
      <c r="F95" s="68"/>
      <c r="G95" s="68"/>
    </row>
    <row r="96" spans="1:11" x14ac:dyDescent="0.25">
      <c r="A96" s="11"/>
      <c r="B96" s="68" t="s">
        <v>31</v>
      </c>
      <c r="C96" s="68"/>
      <c r="D96" s="68"/>
      <c r="E96" s="68"/>
      <c r="F96" s="68"/>
      <c r="G96" s="68"/>
    </row>
    <row r="97" spans="1:11" x14ac:dyDescent="0.25">
      <c r="A97" s="8"/>
      <c r="B97" s="69" t="s">
        <v>54</v>
      </c>
      <c r="C97" s="69"/>
      <c r="D97" s="69"/>
      <c r="E97" s="69"/>
      <c r="F97" s="69"/>
      <c r="G97" s="69"/>
    </row>
    <row r="98" spans="1:11" x14ac:dyDescent="0.25">
      <c r="J98" s="31"/>
      <c r="K98" s="32"/>
    </row>
    <row r="99" spans="1:11" x14ac:dyDescent="0.25">
      <c r="J99" s="4"/>
    </row>
    <row r="100" spans="1:11" x14ac:dyDescent="0.25">
      <c r="K100" s="32"/>
    </row>
  </sheetData>
  <mergeCells count="5">
    <mergeCell ref="A67:B67"/>
    <mergeCell ref="B96:G96"/>
    <mergeCell ref="B94:G94"/>
    <mergeCell ref="B97:G97"/>
    <mergeCell ref="B95:G95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tabSelected="1" workbookViewId="0">
      <selection activeCell="D5" sqref="D5:D10"/>
    </sheetView>
  </sheetViews>
  <sheetFormatPr defaultRowHeight="15" x14ac:dyDescent="0.25"/>
  <cols>
    <col min="1" max="1" width="21.5703125" bestFit="1" customWidth="1"/>
    <col min="2" max="2" width="12.5703125" customWidth="1"/>
    <col min="3" max="4" width="13.5703125" customWidth="1"/>
    <col min="5" max="5" width="15.85546875" customWidth="1"/>
    <col min="6" max="6" width="18.42578125" customWidth="1"/>
    <col min="7" max="7" width="10.85546875" customWidth="1"/>
    <col min="8" max="8" width="15.7109375" customWidth="1"/>
    <col min="9" max="9" width="20.7109375" customWidth="1"/>
    <col min="10" max="10" width="14.7109375" customWidth="1"/>
    <col min="11" max="11" width="15.5703125" customWidth="1"/>
    <col min="12" max="12" width="12" bestFit="1" customWidth="1"/>
    <col min="13" max="13" width="19.28515625" customWidth="1"/>
  </cols>
  <sheetData>
    <row r="1" spans="1:13" x14ac:dyDescent="0.25">
      <c r="B1" s="2" t="s">
        <v>55</v>
      </c>
    </row>
    <row r="3" spans="1:13" x14ac:dyDescent="0.25">
      <c r="B3" s="2" t="s">
        <v>0</v>
      </c>
      <c r="G3" s="1"/>
      <c r="H3" s="1"/>
      <c r="I3" s="1"/>
      <c r="J3" s="1"/>
      <c r="K3" s="1"/>
      <c r="L3" s="1"/>
      <c r="M3" s="3">
        <v>52042</v>
      </c>
    </row>
    <row r="4" spans="1:13" ht="57.6" customHeight="1" x14ac:dyDescent="0.25">
      <c r="B4" s="70" t="s">
        <v>39</v>
      </c>
      <c r="C4" s="70"/>
      <c r="D4" s="16"/>
      <c r="E4" s="16" t="s">
        <v>6</v>
      </c>
      <c r="F4" s="16"/>
      <c r="G4" s="16" t="s">
        <v>7</v>
      </c>
      <c r="H4" s="16" t="s">
        <v>12</v>
      </c>
      <c r="I4" s="16" t="s">
        <v>65</v>
      </c>
      <c r="J4" s="17" t="s">
        <v>17</v>
      </c>
      <c r="K4" s="17" t="s">
        <v>18</v>
      </c>
      <c r="L4" s="17" t="s">
        <v>45</v>
      </c>
      <c r="M4" s="17" t="s">
        <v>32</v>
      </c>
    </row>
    <row r="5" spans="1:13" x14ac:dyDescent="0.25">
      <c r="B5" s="67">
        <v>223</v>
      </c>
      <c r="C5" s="67"/>
      <c r="D5" s="42"/>
      <c r="E5" s="18" t="s">
        <v>8</v>
      </c>
      <c r="F5" s="18" t="s">
        <v>58</v>
      </c>
      <c r="G5" s="53">
        <v>1</v>
      </c>
      <c r="H5" s="18">
        <v>12</v>
      </c>
      <c r="I5" s="27">
        <v>12911.63</v>
      </c>
      <c r="J5" s="18">
        <v>95.8</v>
      </c>
      <c r="K5" s="18">
        <v>100</v>
      </c>
      <c r="L5" s="20">
        <f>I5/C22</f>
        <v>0.35768656152027789</v>
      </c>
      <c r="M5" s="27">
        <f>((H24*L5)*90/100)</f>
        <v>2961.644729387901</v>
      </c>
    </row>
    <row r="6" spans="1:13" x14ac:dyDescent="0.25">
      <c r="B6" s="67">
        <v>465</v>
      </c>
      <c r="C6" s="67"/>
      <c r="D6" s="42"/>
      <c r="E6" s="18" t="s">
        <v>8</v>
      </c>
      <c r="F6" s="41" t="s">
        <v>59</v>
      </c>
      <c r="G6" s="53">
        <v>0.5</v>
      </c>
      <c r="H6" s="54">
        <v>1</v>
      </c>
      <c r="I6" s="27">
        <f>E15</f>
        <v>993.20230769230761</v>
      </c>
      <c r="J6" s="18">
        <v>97</v>
      </c>
      <c r="K6" s="18">
        <v>100</v>
      </c>
      <c r="L6" s="20">
        <f>I6/C22</f>
        <v>2.7514350886175223E-2</v>
      </c>
      <c r="M6" s="27">
        <f>L6*H24-4</f>
        <v>249.13202815281207</v>
      </c>
    </row>
    <row r="7" spans="1:13" x14ac:dyDescent="0.25">
      <c r="B7" s="67">
        <v>465</v>
      </c>
      <c r="C7" s="67"/>
      <c r="D7" s="42"/>
      <c r="E7" s="18" t="s">
        <v>8</v>
      </c>
      <c r="F7" s="41" t="s">
        <v>59</v>
      </c>
      <c r="G7" s="53">
        <v>1</v>
      </c>
      <c r="H7" s="18">
        <v>11</v>
      </c>
      <c r="I7" s="27">
        <f>F15</f>
        <v>11918.42769230769</v>
      </c>
      <c r="J7" s="18">
        <v>97</v>
      </c>
      <c r="K7" s="18">
        <v>100</v>
      </c>
      <c r="L7" s="20">
        <f>I7/C22</f>
        <v>0.33017221063410263</v>
      </c>
      <c r="M7" s="27">
        <f>(H24*L7)-0.27</f>
        <v>3037.314337833744</v>
      </c>
    </row>
    <row r="8" spans="1:13" x14ac:dyDescent="0.25">
      <c r="B8" s="67">
        <v>468</v>
      </c>
      <c r="C8" s="67"/>
      <c r="D8" s="42"/>
      <c r="E8" s="18" t="s">
        <v>8</v>
      </c>
      <c r="F8" s="52" t="s">
        <v>62</v>
      </c>
      <c r="G8" s="53">
        <v>0.33329999999999999</v>
      </c>
      <c r="H8" s="18">
        <v>11</v>
      </c>
      <c r="I8" s="27">
        <f>H15</f>
        <v>268.12703076923077</v>
      </c>
      <c r="J8" s="18">
        <v>96.25</v>
      </c>
      <c r="K8" s="18">
        <v>100</v>
      </c>
      <c r="L8" s="20">
        <f>I8/C22</f>
        <v>7.4278333321577458E-3</v>
      </c>
      <c r="M8" s="27">
        <f>(H24*L8)</f>
        <v>68.336066655851255</v>
      </c>
    </row>
    <row r="9" spans="1:13" x14ac:dyDescent="0.25">
      <c r="A9" t="s">
        <v>77</v>
      </c>
      <c r="B9" s="67">
        <v>468</v>
      </c>
      <c r="C9" s="67"/>
      <c r="D9" s="42"/>
      <c r="E9" s="18" t="s">
        <v>8</v>
      </c>
      <c r="F9" s="52" t="s">
        <v>64</v>
      </c>
      <c r="G9" s="53">
        <v>0.66659999999999997</v>
      </c>
      <c r="H9" s="18">
        <v>1</v>
      </c>
      <c r="I9" s="27">
        <f>I15</f>
        <v>536.30232923076915</v>
      </c>
      <c r="J9" s="18">
        <v>96.25</v>
      </c>
      <c r="K9" s="18">
        <v>100</v>
      </c>
      <c r="L9" s="20"/>
      <c r="M9" s="27"/>
    </row>
    <row r="10" spans="1:13" x14ac:dyDescent="0.25">
      <c r="B10" s="67">
        <v>462</v>
      </c>
      <c r="C10" s="67"/>
      <c r="D10" s="42"/>
      <c r="E10" s="18" t="s">
        <v>8</v>
      </c>
      <c r="F10" s="18" t="s">
        <v>63</v>
      </c>
      <c r="G10" s="53">
        <v>0.5</v>
      </c>
      <c r="H10" s="18">
        <v>12</v>
      </c>
      <c r="I10" s="27">
        <f>G15</f>
        <v>6481.5550000000003</v>
      </c>
      <c r="J10" s="18">
        <v>97.85</v>
      </c>
      <c r="K10" s="18">
        <v>100</v>
      </c>
      <c r="L10" s="20">
        <f>I10/C22</f>
        <v>0.17955634735928502</v>
      </c>
      <c r="M10" s="27">
        <f>(H24*L10)*90/100</f>
        <v>1486.72655613488</v>
      </c>
    </row>
    <row r="11" spans="1:13" x14ac:dyDescent="0.25">
      <c r="B11" s="25"/>
      <c r="C11" s="25"/>
      <c r="D11" s="25"/>
      <c r="G11" s="5"/>
      <c r="I11" s="1"/>
      <c r="K11" t="s">
        <v>35</v>
      </c>
      <c r="M11" s="26">
        <f>SUM(M5:M10)</f>
        <v>7803.1537181651875</v>
      </c>
    </row>
    <row r="12" spans="1:13" x14ac:dyDescent="0.25">
      <c r="M12" s="1"/>
    </row>
    <row r="13" spans="1:13" x14ac:dyDescent="0.25">
      <c r="B13" t="s">
        <v>56</v>
      </c>
    </row>
    <row r="14" spans="1:13" x14ac:dyDescent="0.25">
      <c r="C14" s="42"/>
      <c r="D14" s="42" t="s">
        <v>58</v>
      </c>
      <c r="E14" s="50" t="s">
        <v>60</v>
      </c>
      <c r="F14" s="50" t="s">
        <v>61</v>
      </c>
      <c r="G14" s="42" t="s">
        <v>57</v>
      </c>
      <c r="H14" s="51" t="s">
        <v>62</v>
      </c>
      <c r="I14" s="52" t="s">
        <v>64</v>
      </c>
    </row>
    <row r="15" spans="1:13" x14ac:dyDescent="0.25">
      <c r="C15" s="48"/>
      <c r="D15" s="48">
        <f>12911.63</f>
        <v>12911.63</v>
      </c>
      <c r="E15" s="48">
        <f>12911.63/13*1</f>
        <v>993.20230769230761</v>
      </c>
      <c r="F15" s="48">
        <f>12911.63/13*12</f>
        <v>11918.42769230769</v>
      </c>
      <c r="G15" s="48">
        <f>12963.11/2</f>
        <v>6481.5550000000003</v>
      </c>
      <c r="H15" s="48">
        <f>((10458/13)*33.33/100)</f>
        <v>268.12703076923077</v>
      </c>
      <c r="I15" s="49">
        <f>((10458/13)*66.666/100)</f>
        <v>536.30232923076915</v>
      </c>
      <c r="K15" s="4">
        <f>SUM(B15:J15)</f>
        <v>33109.244359999997</v>
      </c>
      <c r="M15" s="26"/>
    </row>
    <row r="16" spans="1:13" x14ac:dyDescent="0.25">
      <c r="C16" s="65"/>
      <c r="D16" s="65"/>
      <c r="E16" s="65"/>
      <c r="F16" s="65"/>
      <c r="G16" s="65"/>
      <c r="H16" s="65"/>
      <c r="I16" s="66"/>
      <c r="K16" s="4"/>
      <c r="M16" s="26"/>
    </row>
    <row r="17" spans="2:13" x14ac:dyDescent="0.25">
      <c r="C17" s="65"/>
      <c r="D17" s="65"/>
      <c r="E17" s="65"/>
      <c r="F17" s="65"/>
      <c r="G17" s="65"/>
      <c r="H17" s="65"/>
      <c r="I17" s="66"/>
      <c r="K17" s="4"/>
      <c r="M17" s="26"/>
    </row>
    <row r="18" spans="2:13" x14ac:dyDescent="0.25">
      <c r="C18" s="65"/>
      <c r="D18" s="65"/>
      <c r="E18" s="65"/>
      <c r="F18" s="65"/>
      <c r="G18" s="65"/>
      <c r="H18" s="65"/>
      <c r="I18" s="66"/>
      <c r="K18" s="4"/>
      <c r="M18" s="26"/>
    </row>
    <row r="20" spans="2:13" x14ac:dyDescent="0.25">
      <c r="B20" t="s">
        <v>51</v>
      </c>
    </row>
    <row r="21" spans="2:13" ht="30" x14ac:dyDescent="0.25">
      <c r="B21" s="2" t="s">
        <v>36</v>
      </c>
      <c r="C21" s="15" t="s">
        <v>40</v>
      </c>
      <c r="D21" s="15"/>
      <c r="E21" s="15" t="s">
        <v>41</v>
      </c>
      <c r="F21" s="15"/>
      <c r="G21" s="2" t="s">
        <v>37</v>
      </c>
    </row>
    <row r="22" spans="2:13" x14ac:dyDescent="0.25">
      <c r="B22" s="26">
        <f>M3</f>
        <v>52042</v>
      </c>
      <c r="C22" s="4">
        <v>36097.61</v>
      </c>
      <c r="D22" s="4"/>
      <c r="E22" s="26">
        <v>9282.27</v>
      </c>
      <c r="F22" s="26"/>
      <c r="G22" s="3">
        <f>B22-C22-E22</f>
        <v>6662.119999999999</v>
      </c>
      <c r="K22" s="64"/>
    </row>
    <row r="24" spans="2:13" x14ac:dyDescent="0.25">
      <c r="B24" t="s">
        <v>50</v>
      </c>
      <c r="H24" s="1">
        <v>9200</v>
      </c>
      <c r="I24" s="1"/>
    </row>
    <row r="26" spans="2:13" x14ac:dyDescent="0.25">
      <c r="B26" t="s">
        <v>52</v>
      </c>
      <c r="J26" s="64"/>
      <c r="K26" s="64"/>
    </row>
    <row r="27" spans="2:13" x14ac:dyDescent="0.25">
      <c r="B27" t="s">
        <v>53</v>
      </c>
    </row>
    <row r="29" spans="2:13" x14ac:dyDescent="0.25">
      <c r="B29" s="9"/>
      <c r="C29" t="s">
        <v>33</v>
      </c>
    </row>
    <row r="30" spans="2:13" x14ac:dyDescent="0.25">
      <c r="B30" s="8"/>
      <c r="C30" t="s">
        <v>34</v>
      </c>
    </row>
  </sheetData>
  <mergeCells count="7">
    <mergeCell ref="B10:C10"/>
    <mergeCell ref="B6:C6"/>
    <mergeCell ref="B4:C4"/>
    <mergeCell ref="B5:C5"/>
    <mergeCell ref="B7:C7"/>
    <mergeCell ref="B8:C8"/>
    <mergeCell ref="B9:C9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PERSONALE NON PO</vt:lpstr>
      <vt:lpstr>PO 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2024-05-07T14:16:04Z</dcterms:modified>
</cp:coreProperties>
</file>